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300" windowWidth="18735" windowHeight="11700" tabRatio="717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'ГПприл6-ГЗ'!$A$1:$K$89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K93" i="10" l="1"/>
  <c r="J93" i="10"/>
  <c r="I93" i="10"/>
  <c r="H93" i="10"/>
  <c r="K81" i="10" l="1"/>
  <c r="J81" i="10"/>
  <c r="I81" i="10"/>
  <c r="G78" i="10"/>
  <c r="F78" i="10"/>
  <c r="E78" i="10"/>
  <c r="D78" i="10"/>
  <c r="C78" i="10"/>
  <c r="B78" i="10"/>
  <c r="J76" i="10"/>
  <c r="I76" i="10"/>
  <c r="H76" i="10"/>
  <c r="K72" i="10"/>
  <c r="J72" i="10"/>
  <c r="I72" i="10"/>
  <c r="J67" i="10" l="1"/>
  <c r="I67" i="10"/>
  <c r="J66" i="10"/>
  <c r="I66" i="10"/>
  <c r="J65" i="10"/>
  <c r="I65" i="10"/>
  <c r="J62" i="10"/>
  <c r="K62" i="10" s="1"/>
  <c r="I62" i="10"/>
  <c r="B62" i="10"/>
  <c r="K61" i="10"/>
  <c r="J61" i="10"/>
  <c r="I61" i="10"/>
  <c r="K60" i="10"/>
  <c r="J59" i="10"/>
  <c r="K59" i="10" s="1"/>
  <c r="I59" i="10"/>
  <c r="F59" i="10"/>
  <c r="E59" i="10"/>
  <c r="D59" i="10"/>
  <c r="C59" i="10"/>
  <c r="B59" i="10"/>
  <c r="J58" i="10"/>
  <c r="K58" i="10" s="1"/>
  <c r="I58" i="10"/>
  <c r="B58" i="10"/>
  <c r="K55" i="10"/>
  <c r="K54" i="10"/>
  <c r="K53" i="10"/>
  <c r="K52" i="10"/>
  <c r="K51" i="10"/>
  <c r="K50" i="10"/>
  <c r="K49" i="10"/>
  <c r="K48" i="10"/>
  <c r="J48" i="10"/>
  <c r="I48" i="10"/>
  <c r="J47" i="10"/>
  <c r="K47" i="10" s="1"/>
  <c r="I47" i="10"/>
  <c r="O44" i="10"/>
  <c r="N44" i="10"/>
  <c r="M44" i="10"/>
  <c r="H44" i="10"/>
  <c r="J42" i="10"/>
  <c r="K42" i="10" s="1"/>
  <c r="I42" i="10"/>
  <c r="H42" i="10"/>
  <c r="K66" i="10" l="1"/>
  <c r="K65" i="10"/>
  <c r="K67" i="10"/>
  <c r="K36" i="10"/>
  <c r="B35" i="10"/>
  <c r="O34" i="10"/>
  <c r="N34" i="10"/>
  <c r="M34" i="10"/>
  <c r="J34" i="10"/>
  <c r="K34" i="10" s="1"/>
  <c r="I34" i="10"/>
  <c r="F34" i="10"/>
  <c r="E34" i="10"/>
  <c r="D34" i="10"/>
  <c r="C34" i="10"/>
  <c r="B34" i="10"/>
  <c r="O33" i="10"/>
  <c r="N33" i="10"/>
  <c r="M33" i="10"/>
  <c r="J33" i="10"/>
  <c r="I33" i="10"/>
  <c r="F33" i="10"/>
  <c r="E33" i="10"/>
  <c r="D33" i="10"/>
  <c r="C33" i="10"/>
  <c r="B33" i="10"/>
  <c r="R34" i="10"/>
  <c r="J28" i="10"/>
  <c r="K28" i="10" s="1"/>
  <c r="I28" i="10"/>
  <c r="E28" i="10"/>
  <c r="D28" i="10"/>
  <c r="C28" i="10"/>
  <c r="J27" i="10"/>
  <c r="I27" i="10"/>
  <c r="C27" i="10"/>
  <c r="O22" i="10"/>
  <c r="N22" i="10"/>
  <c r="M22" i="10"/>
  <c r="C22" i="10"/>
  <c r="O21" i="10"/>
  <c r="N21" i="10"/>
  <c r="M21" i="10"/>
  <c r="J21" i="10"/>
  <c r="K21" i="10" s="1"/>
  <c r="I21" i="10"/>
  <c r="C21" i="10"/>
  <c r="C14" i="10"/>
  <c r="B12" i="10"/>
  <c r="O11" i="10"/>
  <c r="N11" i="10"/>
  <c r="M11" i="10"/>
  <c r="J11" i="10"/>
  <c r="K11" i="10" s="1"/>
  <c r="I11" i="10"/>
  <c r="G11" i="10"/>
  <c r="E11" i="10"/>
  <c r="D11" i="10"/>
  <c r="C11" i="10"/>
  <c r="B11" i="10"/>
  <c r="O10" i="10"/>
  <c r="N10" i="10"/>
  <c r="M10" i="10"/>
  <c r="K10" i="10"/>
  <c r="J10" i="10"/>
  <c r="I10" i="10"/>
  <c r="G10" i="10"/>
  <c r="F10" i="10"/>
  <c r="C10" i="10"/>
  <c r="B10" i="10"/>
  <c r="H74" i="10" l="1"/>
  <c r="H78" i="10" s="1"/>
  <c r="Q34" i="10"/>
  <c r="F11" i="10"/>
  <c r="K27" i="10"/>
  <c r="K33" i="10"/>
  <c r="F28" i="10"/>
  <c r="H92" i="10"/>
  <c r="I44" i="10" l="1"/>
  <c r="I74" i="10" s="1"/>
  <c r="I78" i="10" s="1"/>
  <c r="I22" i="10"/>
  <c r="J44" i="10"/>
  <c r="J74" i="10" s="1"/>
  <c r="J78" i="10" s="1"/>
  <c r="J22" i="10"/>
  <c r="H94" i="10"/>
  <c r="I92" i="10" l="1"/>
  <c r="I94" i="10" s="1"/>
  <c r="K22" i="10"/>
  <c r="K44" i="10"/>
  <c r="J92" i="10"/>
  <c r="J94" i="10" s="1"/>
  <c r="I83" i="10"/>
  <c r="J83" i="10"/>
  <c r="K92" i="10" l="1"/>
  <c r="K94" i="10" s="1"/>
  <c r="K74" i="10"/>
  <c r="K78" i="10" l="1"/>
  <c r="K83" i="10"/>
</calcChain>
</file>

<file path=xl/sharedStrings.xml><?xml version="1.0" encoding="utf-8"?>
<sst xmlns="http://schemas.openxmlformats.org/spreadsheetml/2006/main" count="97" uniqueCount="61">
  <si>
    <t>2014 год</t>
  </si>
  <si>
    <t>2015 год</t>
  </si>
  <si>
    <t>2016 год</t>
  </si>
  <si>
    <t>Обеспечение деятельности подведомственных учреждений</t>
  </si>
  <si>
    <t>ДТиС</t>
  </si>
  <si>
    <t>2012 год</t>
  </si>
  <si>
    <t>2013 год</t>
  </si>
  <si>
    <t xml:space="preserve">Наименование услуги и ее содержание: Библиотечное, библиографическое 
и информационное обслуживание  пользователей  библиотеки          </t>
  </si>
  <si>
    <t>бибки</t>
  </si>
  <si>
    <t>автономные</t>
  </si>
  <si>
    <t>бюджетные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</si>
  <si>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</si>
  <si>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</si>
  <si>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</si>
  <si>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</si>
  <si>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</si>
  <si>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Показатель объема услуги: количество зрителей</t>
  </si>
  <si>
    <t>театры</t>
  </si>
  <si>
    <t>филармония</t>
  </si>
  <si>
    <t>ССУЗы</t>
  </si>
  <si>
    <t>Т.В. Веселина</t>
  </si>
  <si>
    <t>Первый заместитель министра культуры  Красноярского края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</si>
  <si>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</si>
  <si>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</si>
  <si>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</si>
  <si>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</si>
  <si>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</si>
  <si>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</si>
  <si>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</si>
  <si>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</si>
  <si>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</si>
  <si>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</si>
  <si>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</si>
  <si>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</si>
  <si>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</si>
  <si>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</si>
  <si>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</si>
  <si>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</si>
  <si>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</si>
  <si>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</si>
  <si>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 xml:space="preserve">Показатель объема работы: количество мероприятий </t>
  </si>
  <si>
    <t>Значение показателя объема услуги (работы)</t>
  </si>
  <si>
    <t>Наименование услуги (работы), показателя объема услуги (работы)</t>
  </si>
  <si>
    <t>Обеспечение деятельности (оказание услуг) подведомственных учреждений</t>
  </si>
  <si>
    <t xml:space="preserve">Прогноз сводных показателей муниципальных заданий </t>
  </si>
  <si>
    <t>Расходы местного бюджета на оказание (выполнеение) муниципальной услуги (работы), тыс. руб.</t>
  </si>
  <si>
    <t>Наименование услуги и ее содержание: Реализация образовательных программ дополнительного образования детей в области культуры</t>
  </si>
  <si>
    <t>Показатель объема услуги: число обучающихся в школе</t>
  </si>
  <si>
    <t xml:space="preserve">Наименование работы и ее содержание: Участие в проведении фестивалей,   выставок, смотров,  конкурсов,   конференций и иных  программных   мероприятий, в том числе в рамках международного сотрудничества  </t>
  </si>
  <si>
    <t xml:space="preserve">Наименование услуги и ее содержание: Организация предоставления кинопоказа  </t>
  </si>
  <si>
    <t>Наименование услуги и ее содержание:Организация и обеспечение  проведения массовых мероприятий силами учреждения</t>
  </si>
  <si>
    <t>Показатель объема услуги: количество культурно- досуговых мероприятий</t>
  </si>
  <si>
    <t xml:space="preserve">Наименование работы и ее содержание: Организация досуга граждан и обеспечение развития художественного творчества </t>
  </si>
  <si>
    <t xml:space="preserve">Показатель объема работы: количество клубных- формирований в том числе для детей </t>
  </si>
  <si>
    <t>Показатель объема работы: количество выездов коллективов для участия в конкурсах, фестивалях различных уровней в том числе международных</t>
  </si>
  <si>
    <t>Наименование работы и ее содержание: Реализация культурно-просветительских мероприятий, творческих конкурсов, фестивалей, выставок, концертов, спектаклей</t>
  </si>
  <si>
    <t>Показатель объема услуги: количество посещений</t>
  </si>
  <si>
    <t>Приложение № 7
к муниципальной программе Ермаковского района «Развитие культуры» на 2014-2016 годы</t>
  </si>
  <si>
    <t>Подпрограмма 1 Поддержка библиотечного дела</t>
  </si>
  <si>
    <t>Подпрограмма 2. Поддержка искусства и народного творчества</t>
  </si>
  <si>
    <t>Подпрограмма 3. Поддержка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</si>
</sst>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8" fillId="0" borderId="0"/>
  </cellStyleXfs>
  <cellXfs count="55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3" applyFont="1" applyAlignment="1">
      <alignment wrapText="1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horizontal="center" vertical="top" wrapText="1"/>
    </xf>
    <xf numFmtId="0" fontId="5" fillId="0" borderId="1" xfId="3" applyFont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justify" wrapText="1"/>
    </xf>
    <xf numFmtId="0" fontId="5" fillId="2" borderId="1" xfId="3" applyFont="1" applyFill="1" applyBorder="1" applyAlignment="1">
      <alignment horizontal="right" vertical="top" wrapText="1"/>
    </xf>
    <xf numFmtId="3" fontId="5" fillId="0" borderId="1" xfId="3" applyNumberFormat="1" applyFont="1" applyBorder="1" applyAlignment="1">
      <alignment vertical="top" wrapText="1"/>
    </xf>
    <xf numFmtId="0" fontId="5" fillId="0" borderId="1" xfId="3" applyFont="1" applyFill="1" applyBorder="1" applyAlignment="1">
      <alignment horizontal="right" vertical="top" wrapText="1"/>
    </xf>
    <xf numFmtId="0" fontId="5" fillId="0" borderId="0" xfId="3" applyFont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11" fillId="0" borderId="0" xfId="3" applyFont="1" applyFill="1" applyBorder="1" applyAlignment="1">
      <alignment horizontal="right" vertical="top" wrapText="1"/>
    </xf>
    <xf numFmtId="0" fontId="10" fillId="0" borderId="0" xfId="3" applyFont="1" applyBorder="1" applyAlignment="1">
      <alignment vertical="top" wrapText="1"/>
    </xf>
    <xf numFmtId="0" fontId="11" fillId="0" borderId="0" xfId="3" applyFont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165" fontId="11" fillId="0" borderId="0" xfId="3" applyNumberFormat="1" applyFont="1" applyBorder="1" applyAlignment="1">
      <alignment vertical="top" wrapText="1"/>
    </xf>
    <xf numFmtId="0" fontId="13" fillId="0" borderId="1" xfId="3" applyFont="1" applyBorder="1" applyAlignment="1">
      <alignment vertical="top" wrapText="1"/>
    </xf>
    <xf numFmtId="0" fontId="13" fillId="0" borderId="0" xfId="3" applyFont="1" applyAlignment="1">
      <alignment vertical="top" wrapText="1"/>
    </xf>
    <xf numFmtId="2" fontId="13" fillId="0" borderId="0" xfId="3" applyNumberFormat="1" applyFont="1" applyAlignment="1">
      <alignment vertical="top" wrapText="1"/>
    </xf>
    <xf numFmtId="165" fontId="13" fillId="0" borderId="0" xfId="3" applyNumberFormat="1" applyFont="1" applyAlignment="1">
      <alignment vertical="top" wrapText="1"/>
    </xf>
    <xf numFmtId="0" fontId="5" fillId="3" borderId="1" xfId="3" applyFont="1" applyFill="1" applyBorder="1" applyAlignment="1">
      <alignment vertical="top" wrapText="1"/>
    </xf>
    <xf numFmtId="165" fontId="11" fillId="0" borderId="0" xfId="3" applyNumberFormat="1" applyFont="1" applyFill="1" applyBorder="1" applyAlignment="1">
      <alignment horizontal="right" vertical="top" wrapText="1"/>
    </xf>
    <xf numFmtId="165" fontId="5" fillId="0" borderId="0" xfId="3" applyNumberFormat="1" applyFont="1" applyAlignment="1">
      <alignment vertical="top" wrapText="1"/>
    </xf>
    <xf numFmtId="0" fontId="5" fillId="0" borderId="1" xfId="3" applyFont="1" applyBorder="1" applyAlignment="1">
      <alignment horizontal="center" vertical="top" wrapText="1"/>
    </xf>
    <xf numFmtId="165" fontId="5" fillId="0" borderId="1" xfId="3" applyNumberFormat="1" applyFont="1" applyBorder="1" applyAlignment="1">
      <alignment vertical="top" wrapText="1"/>
    </xf>
    <xf numFmtId="165" fontId="5" fillId="0" borderId="1" xfId="3" applyNumberFormat="1" applyFont="1" applyFill="1" applyBorder="1" applyAlignment="1">
      <alignment horizontal="right" vertical="top" wrapText="1"/>
    </xf>
    <xf numFmtId="0" fontId="12" fillId="0" borderId="1" xfId="3" applyFont="1" applyFill="1" applyBorder="1" applyAlignment="1">
      <alignment horizontal="center" vertical="top" wrapText="1"/>
    </xf>
    <xf numFmtId="165" fontId="12" fillId="0" borderId="1" xfId="3" applyNumberFormat="1" applyFont="1" applyFill="1" applyBorder="1" applyAlignment="1">
      <alignment horizontal="right" vertical="top" wrapText="1"/>
    </xf>
    <xf numFmtId="0" fontId="14" fillId="0" borderId="1" xfId="3" applyFont="1" applyFill="1" applyBorder="1" applyAlignment="1">
      <alignment horizontal="center" vertical="top" wrapText="1"/>
    </xf>
    <xf numFmtId="164" fontId="5" fillId="0" borderId="1" xfId="3" applyNumberFormat="1" applyFont="1" applyBorder="1" applyAlignment="1">
      <alignment vertical="top" wrapText="1"/>
    </xf>
    <xf numFmtId="164" fontId="5" fillId="0" borderId="1" xfId="3" applyNumberFormat="1" applyFont="1" applyFill="1" applyBorder="1" applyAlignment="1">
      <alignment vertical="top" wrapText="1"/>
    </xf>
    <xf numFmtId="3" fontId="5" fillId="4" borderId="1" xfId="3" applyNumberFormat="1" applyFont="1" applyFill="1" applyBorder="1" applyAlignment="1">
      <alignment vertical="top" wrapText="1"/>
    </xf>
    <xf numFmtId="3" fontId="5" fillId="0" borderId="1" xfId="3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wrapText="1"/>
    </xf>
    <xf numFmtId="1" fontId="5" fillId="0" borderId="1" xfId="3" applyNumberFormat="1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9" fillId="0" borderId="1" xfId="3" applyFont="1" applyBorder="1" applyAlignment="1">
      <alignment horizontal="left"/>
    </xf>
    <xf numFmtId="0" fontId="9" fillId="0" borderId="1" xfId="3" applyFont="1" applyBorder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5" fillId="0" borderId="0" xfId="3" applyFont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Border="1" applyAlignment="1">
      <alignment horizontal="center" vertical="top" wrapText="1"/>
    </xf>
    <xf numFmtId="0" fontId="2" fillId="0" borderId="0" xfId="2" applyFont="1" applyFill="1" applyAlignment="1">
      <alignment horizontal="left" vertical="top" wrapText="1"/>
    </xf>
    <xf numFmtId="2" fontId="5" fillId="0" borderId="1" xfId="3" applyNumberFormat="1" applyFont="1" applyBorder="1" applyAlignment="1">
      <alignment vertical="top" wrapText="1"/>
    </xf>
    <xf numFmtId="2" fontId="5" fillId="0" borderId="1" xfId="3" applyNumberFormat="1" applyFont="1" applyFill="1" applyBorder="1" applyAlignment="1">
      <alignment horizontal="right" vertical="top" wrapText="1"/>
    </xf>
    <xf numFmtId="4" fontId="5" fillId="0" borderId="1" xfId="3" applyNumberFormat="1" applyFont="1" applyBorder="1" applyAlignment="1">
      <alignment vertical="top" wrapText="1"/>
    </xf>
    <xf numFmtId="4" fontId="5" fillId="0" borderId="1" xfId="3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1.2.%20&#1054;&#1058;&#1063;&#1045;&#1058;%20&#1052;&#1048;&#1053;&#1050;&#1059;&#1051;&#1068;&#1058;&#1059;&#1056;&#1067;%20&#1050;&#1056;&#1040;&#1071;%20&#1047;&#1040;%202012%20&#1043;&#1054;&#1044;/&#1054;&#1094;&#1077;&#1085;&#1082;&#1072;%20&#1074;&#1099;&#1087;&#1086;&#1083;&#1085;&#1077;&#1085;&#1080;&#1103;%20&#1075;&#1086;&#1089;&#1091;&#1076;&#1072;&#1088;&#1089;&#1090;&#1074;&#1077;&#1085;&#1085;&#1086;&#1075;&#1086;%20&#1079;&#1072;&#1076;&#1072;&#1085;&#1080;&#1103;%202012%20&#1075;&#1086;&#1076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1.2.%20&#1054;&#1058;&#1063;&#1045;&#1058;%20&#1052;&#1048;&#1053;&#1050;&#1059;&#1051;&#1068;&#1058;&#1059;&#1056;&#1067;%20&#1050;&#1056;&#1040;&#1071;%20&#1047;&#1040;%202012%20&#1043;&#1054;&#1044;/&#1054;&#1090;&#1095;&#1077;&#1090;%20&#1079;&#1072;%20&#1075;&#1086;&#1076;%20&#1087;&#1086;%20&#1087;&#1086;&#1082;&#1072;&#1079;&#1072;&#1090;&#1077;&#1083;&#1103;&#1084;%20&#1082;%201%20&#1084;&#1072;&#1088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%20&#1050;&#1054;&#1056;&#1056;&#1045;&#1050;&#1058;&#1048;&#1056;&#1054;&#1042;&#1050;&#1040;%20-%20&#1052;&#1040;&#1056;&#1058;%202013%20&#1043;&#1054;&#1044;&#1040;-&#1044;&#1054;&#1052;/1.%20&#1055;&#1045;&#1056;&#1045;&#1056;&#1040;&#1057;&#1055;&#1056;&#1045;&#1044;&#1045;&#1051;&#1045;&#1053;&#1048;&#1045;-02.04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 refreshError="1">
        <row r="10">
          <cell r="E10">
            <v>1561195.0000000002</v>
          </cell>
          <cell r="F10">
            <v>1630454.1999999997</v>
          </cell>
          <cell r="G10">
            <v>1628857.5999999996</v>
          </cell>
        </row>
        <row r="11">
          <cell r="E11">
            <v>449160.80000000005</v>
          </cell>
          <cell r="F11">
            <v>467944.1</v>
          </cell>
          <cell r="G11">
            <v>467944.1</v>
          </cell>
        </row>
        <row r="18">
          <cell r="E18">
            <v>186937.3</v>
          </cell>
          <cell r="F18">
            <v>193776.6</v>
          </cell>
          <cell r="G18">
            <v>193776.6</v>
          </cell>
        </row>
        <row r="25">
          <cell r="E25">
            <v>298688.5</v>
          </cell>
          <cell r="F25">
            <v>314851.5</v>
          </cell>
          <cell r="G25">
            <v>313254.89999999997</v>
          </cell>
        </row>
        <row r="31">
          <cell r="E31">
            <v>81040.299999999988</v>
          </cell>
          <cell r="F31">
            <v>84289.9</v>
          </cell>
          <cell r="G31">
            <v>84289.9</v>
          </cell>
        </row>
        <row r="35">
          <cell r="E35">
            <v>545368.10000000009</v>
          </cell>
          <cell r="F35">
            <v>569592.1</v>
          </cell>
          <cell r="G35">
            <v>569592.1</v>
          </cell>
        </row>
        <row r="41">
          <cell r="E41">
            <v>830168.4</v>
          </cell>
          <cell r="F41">
            <v>803775.3</v>
          </cell>
          <cell r="G41">
            <v>850118.8</v>
          </cell>
        </row>
        <row r="42">
          <cell r="E42">
            <v>25368.6</v>
          </cell>
          <cell r="F42">
            <v>26183.499999999996</v>
          </cell>
          <cell r="G42">
            <v>24043.499999999996</v>
          </cell>
        </row>
        <row r="44">
          <cell r="E44">
            <v>148591.1</v>
          </cell>
          <cell r="F44">
            <v>96517.6</v>
          </cell>
          <cell r="G44">
            <v>145001.1</v>
          </cell>
        </row>
        <row r="47">
          <cell r="E47">
            <v>125509.19999999998</v>
          </cell>
          <cell r="F47">
            <v>129950.1</v>
          </cell>
          <cell r="G47">
            <v>129950.1</v>
          </cell>
        </row>
        <row r="49">
          <cell r="E49">
            <v>530699.5</v>
          </cell>
          <cell r="F49">
            <v>551124.1</v>
          </cell>
          <cell r="G49">
            <v>551124.1</v>
          </cell>
        </row>
      </sheetData>
      <sheetData sheetId="1" refreshError="1"/>
      <sheetData sheetId="2" refreshError="1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  <row r="47">
          <cell r="E47">
            <v>64649.000000000007</v>
          </cell>
          <cell r="F47">
            <v>79418.699999999983</v>
          </cell>
          <cell r="G47">
            <v>79418.699999999983</v>
          </cell>
          <cell r="T47">
            <v>-3217.2</v>
          </cell>
          <cell r="U47">
            <v>-3217.2</v>
          </cell>
          <cell r="V47">
            <v>-3217.2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У"/>
      <sheetName val="Дома, Центры"/>
      <sheetName val="кинограф"/>
      <sheetName val="библиотеки"/>
      <sheetName val="музеи"/>
      <sheetName val="образование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7">
          <cell r="D17">
            <v>21850</v>
          </cell>
        </row>
        <row r="135">
          <cell r="E135">
            <v>250970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13">
          <cell r="D13">
            <v>136492</v>
          </cell>
        </row>
        <row r="14">
          <cell r="D14">
            <v>89389</v>
          </cell>
        </row>
        <row r="15">
          <cell r="D15">
            <v>66931</v>
          </cell>
        </row>
        <row r="16">
          <cell r="D16">
            <v>34280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8">
          <cell r="N78">
            <v>1687.4</v>
          </cell>
          <cell r="Q78">
            <v>1763.9</v>
          </cell>
          <cell r="T78">
            <v>1807.6</v>
          </cell>
        </row>
        <row r="81">
          <cell r="N81">
            <v>343578.5</v>
          </cell>
          <cell r="Q81">
            <v>403331.4</v>
          </cell>
          <cell r="T81">
            <v>401734.5</v>
          </cell>
        </row>
      </sheetData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БЮДЖЕТНЫЕ"/>
      <sheetName val="СВОД АВТОНОМНЫЕ"/>
      <sheetName val="ТЗУ автон"/>
      <sheetName val="ТЗУ бюджетные"/>
      <sheetName val="Филармония"/>
      <sheetName val="Библиотеки авто "/>
      <sheetName val="Библиотеки бюдж"/>
      <sheetName val="музеи"/>
      <sheetName val="образование"/>
      <sheetName val="доп образ авто"/>
      <sheetName val="кинограф"/>
      <sheetName val="дома бюджет"/>
      <sheetName val="дома авто"/>
      <sheetName val="шаблон"/>
      <sheetName val="Филармония (2)"/>
      <sheetName val="Отчет по субсид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E7">
            <v>53</v>
          </cell>
        </row>
        <row r="8">
          <cell r="E8">
            <v>200</v>
          </cell>
        </row>
        <row r="9">
          <cell r="E9">
            <v>40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.росписи"/>
      <sheetName val="29,0 по учрежд."/>
      <sheetName val="кому-что "/>
      <sheetName val="САПФИР -02.03."/>
      <sheetName val="изм.росписи (для отправки в МФ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>
            <v>371920.19999999995</v>
          </cell>
        </row>
        <row r="15">
          <cell r="F15">
            <v>21988.6</v>
          </cell>
        </row>
        <row r="23">
          <cell r="F23">
            <v>96363.599999999991</v>
          </cell>
        </row>
        <row r="25">
          <cell r="F25">
            <v>118798.3</v>
          </cell>
        </row>
        <row r="27">
          <cell r="F27">
            <v>243971.4</v>
          </cell>
        </row>
        <row r="29">
          <cell r="F29">
            <v>106379.2</v>
          </cell>
        </row>
        <row r="32">
          <cell r="F32">
            <v>445841.19999999995</v>
          </cell>
        </row>
        <row r="35">
          <cell r="F35">
            <v>424694</v>
          </cell>
        </row>
        <row r="60">
          <cell r="F60">
            <v>24284.600000000002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view="pageBreakPreview" zoomScale="70" zoomScaleNormal="85" zoomScaleSheetLayoutView="70" workbookViewId="0">
      <selection activeCell="J71" sqref="J71"/>
    </sheetView>
  </sheetViews>
  <sheetFormatPr defaultRowHeight="18.75" outlineLevelRow="1" x14ac:dyDescent="0.2"/>
  <cols>
    <col min="1" max="1" width="46.140625" style="42" customWidth="1"/>
    <col min="2" max="6" width="11.140625" style="6" customWidth="1"/>
    <col min="7" max="10" width="13.42578125" style="6" customWidth="1"/>
    <col min="11" max="11" width="16.85546875" style="6" customWidth="1"/>
    <col min="12" max="12" width="15.5703125" style="6" hidden="1" customWidth="1"/>
    <col min="13" max="13" width="17.5703125" style="6" hidden="1" customWidth="1"/>
    <col min="14" max="14" width="14.28515625" style="6" hidden="1" customWidth="1"/>
    <col min="15" max="15" width="13.140625" style="6" hidden="1" customWidth="1"/>
    <col min="16" max="16" width="10.140625" style="6" hidden="1" customWidth="1"/>
    <col min="17" max="17" width="11.28515625" style="6" hidden="1" customWidth="1"/>
    <col min="18" max="18" width="12.85546875" style="6" hidden="1" customWidth="1"/>
    <col min="19" max="19" width="10.140625" style="6" hidden="1" customWidth="1"/>
    <col min="20" max="23" width="0" style="6" hidden="1" customWidth="1"/>
    <col min="24" max="16384" width="9.140625" style="6"/>
  </cols>
  <sheetData>
    <row r="1" spans="1:15" s="5" customFormat="1" ht="62.25" customHeight="1" x14ac:dyDescent="0.3">
      <c r="A1" s="41"/>
      <c r="F1" s="46" t="s">
        <v>57</v>
      </c>
      <c r="G1" s="46"/>
      <c r="H1" s="46"/>
      <c r="I1" s="46"/>
      <c r="J1" s="46"/>
    </row>
    <row r="2" spans="1:15" ht="39.75" customHeight="1" x14ac:dyDescent="0.2">
      <c r="A2" s="47" t="s">
        <v>44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15" s="7" customFormat="1" ht="57" customHeight="1" x14ac:dyDescent="0.2">
      <c r="A4" s="48" t="s">
        <v>42</v>
      </c>
      <c r="B4" s="49" t="s">
        <v>41</v>
      </c>
      <c r="C4" s="49"/>
      <c r="D4" s="49"/>
      <c r="E4" s="49"/>
      <c r="F4" s="49"/>
      <c r="G4" s="49" t="s">
        <v>45</v>
      </c>
      <c r="H4" s="49"/>
      <c r="I4" s="49"/>
      <c r="J4" s="49"/>
      <c r="K4" s="49"/>
    </row>
    <row r="5" spans="1:15" x14ac:dyDescent="0.2">
      <c r="A5" s="48"/>
      <c r="B5" s="28" t="s">
        <v>5</v>
      </c>
      <c r="C5" s="28" t="s">
        <v>6</v>
      </c>
      <c r="D5" s="28" t="s">
        <v>0</v>
      </c>
      <c r="E5" s="28" t="s">
        <v>1</v>
      </c>
      <c r="F5" s="28" t="s">
        <v>2</v>
      </c>
      <c r="G5" s="28" t="s">
        <v>5</v>
      </c>
      <c r="H5" s="28" t="s">
        <v>6</v>
      </c>
      <c r="I5" s="28" t="s">
        <v>0</v>
      </c>
      <c r="J5" s="28" t="s">
        <v>1</v>
      </c>
      <c r="K5" s="28" t="s">
        <v>2</v>
      </c>
    </row>
    <row r="6" spans="1:15" ht="42.75" customHeight="1" x14ac:dyDescent="0.3">
      <c r="A6" s="45" t="s">
        <v>7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5" x14ac:dyDescent="0.3">
      <c r="A7" s="44" t="s">
        <v>56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5" ht="37.5" x14ac:dyDescent="0.2">
      <c r="A8" s="9" t="s">
        <v>58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5" s="22" customFormat="1" ht="31.5" x14ac:dyDescent="0.2">
      <c r="A9" s="43" t="s">
        <v>43</v>
      </c>
      <c r="B9" s="8">
        <v>124524</v>
      </c>
      <c r="C9" s="9">
        <v>125523</v>
      </c>
      <c r="D9" s="9">
        <v>125540</v>
      </c>
      <c r="E9" s="9">
        <v>125544</v>
      </c>
      <c r="F9" s="8">
        <v>125544</v>
      </c>
      <c r="G9" s="51">
        <v>9535.52</v>
      </c>
      <c r="H9" s="52">
        <v>12015.6</v>
      </c>
      <c r="I9" s="52">
        <v>13938.86</v>
      </c>
      <c r="J9" s="52">
        <v>14454.92</v>
      </c>
      <c r="K9" s="51">
        <v>14454.92</v>
      </c>
      <c r="L9" s="22" t="s">
        <v>8</v>
      </c>
    </row>
    <row r="10" spans="1:15" s="22" customFormat="1" hidden="1" outlineLevel="1" x14ac:dyDescent="0.2">
      <c r="A10" s="9" t="s">
        <v>9</v>
      </c>
      <c r="B10" s="8">
        <f>306834</f>
        <v>306834</v>
      </c>
      <c r="C10" s="9">
        <f>311000</f>
        <v>311000</v>
      </c>
      <c r="D10" s="9">
        <v>311000</v>
      </c>
      <c r="E10" s="9">
        <v>311000</v>
      </c>
      <c r="F10" s="8">
        <f>E10</f>
        <v>311000</v>
      </c>
      <c r="G10" s="8">
        <f>44336.6</f>
        <v>44336.6</v>
      </c>
      <c r="H10" s="30">
        <v>63645.2</v>
      </c>
      <c r="I10" s="13">
        <f>61280.2+9557</f>
        <v>70837.2</v>
      </c>
      <c r="J10" s="13">
        <f>62858.9+12321.2</f>
        <v>75180.100000000006</v>
      </c>
      <c r="K10" s="8">
        <f>62858.9+12321.2</f>
        <v>75180.100000000006</v>
      </c>
      <c r="M10" s="22" t="e">
        <f>10869.9+M47+#REF!</f>
        <v>#REF!</v>
      </c>
      <c r="N10" s="24" t="e">
        <f>13640.4+N47+#REF!</f>
        <v>#REF!</v>
      </c>
      <c r="O10" s="22" t="e">
        <f>13640.4+O47+#REF!</f>
        <v>#REF!</v>
      </c>
    </row>
    <row r="11" spans="1:15" s="22" customFormat="1" hidden="1" outlineLevel="1" x14ac:dyDescent="0.2">
      <c r="A11" s="9" t="s">
        <v>10</v>
      </c>
      <c r="B11" s="8">
        <f>321437</f>
        <v>321437</v>
      </c>
      <c r="C11" s="9">
        <f>304828</f>
        <v>304828</v>
      </c>
      <c r="D11" s="9">
        <f>304830</f>
        <v>304830</v>
      </c>
      <c r="E11" s="9">
        <f>304830</f>
        <v>304830</v>
      </c>
      <c r="F11" s="8">
        <f>E11</f>
        <v>304830</v>
      </c>
      <c r="G11" s="8">
        <f>44336.6+55573.2</f>
        <v>99909.799999999988</v>
      </c>
      <c r="H11" s="13">
        <v>45350.3</v>
      </c>
      <c r="I11" s="13">
        <f>48529.1+9667.8</f>
        <v>58196.899999999994</v>
      </c>
      <c r="J11" s="13">
        <f>49182+11977.2</f>
        <v>61159.199999999997</v>
      </c>
      <c r="K11" s="8">
        <f>J11</f>
        <v>61159.199999999997</v>
      </c>
      <c r="M11" s="22" t="e">
        <f>[13]индексация!E29+#REF!</f>
        <v>#REF!</v>
      </c>
      <c r="N11" s="22" t="e">
        <f>[13]индексация!F29+#REF!</f>
        <v>#REF!</v>
      </c>
      <c r="O11" s="22" t="e">
        <f>[13]индексация!G29+#REF!</f>
        <v>#REF!</v>
      </c>
    </row>
    <row r="12" spans="1:15" ht="45.75" hidden="1" customHeight="1" outlineLevel="1" x14ac:dyDescent="0.25">
      <c r="A12" s="10" t="s">
        <v>11</v>
      </c>
      <c r="B12" s="8">
        <f>[14]музеи!$E$135</f>
        <v>250970</v>
      </c>
      <c r="C12" s="9">
        <v>251000</v>
      </c>
      <c r="D12" s="31">
        <v>253.4</v>
      </c>
      <c r="E12" s="32">
        <v>258.5</v>
      </c>
      <c r="F12" s="32">
        <v>261.10000000000002</v>
      </c>
      <c r="G12" s="8"/>
      <c r="H12" s="13"/>
      <c r="I12" s="11"/>
      <c r="J12" s="11"/>
      <c r="K12" s="8"/>
      <c r="M12" s="22">
        <v>-5688.2999999999993</v>
      </c>
      <c r="N12" s="22">
        <v>-6088.2999999999993</v>
      </c>
      <c r="O12" s="22">
        <v>-7684.9</v>
      </c>
    </row>
    <row r="13" spans="1:15" ht="30.75" hidden="1" customHeight="1" outlineLevel="1" x14ac:dyDescent="0.25">
      <c r="A13" s="10" t="s">
        <v>12</v>
      </c>
      <c r="B13" s="8">
        <v>21461</v>
      </c>
      <c r="C13" s="9">
        <v>16500</v>
      </c>
      <c r="D13" s="33">
        <v>21.7</v>
      </c>
      <c r="E13" s="32">
        <v>22.1</v>
      </c>
      <c r="F13" s="32">
        <v>22.3</v>
      </c>
      <c r="G13" s="8"/>
      <c r="H13" s="13"/>
      <c r="I13" s="11"/>
      <c r="J13" s="11"/>
      <c r="K13" s="8"/>
    </row>
    <row r="14" spans="1:15" ht="45" hidden="1" outlineLevel="1" x14ac:dyDescent="0.25">
      <c r="A14" s="10" t="s">
        <v>13</v>
      </c>
      <c r="B14" s="8">
        <v>298000</v>
      </c>
      <c r="C14" s="9">
        <f>300000-17000</f>
        <v>283000</v>
      </c>
      <c r="D14" s="31">
        <v>302.94</v>
      </c>
      <c r="E14" s="32">
        <v>309</v>
      </c>
      <c r="F14" s="32">
        <v>312.10000000000002</v>
      </c>
      <c r="G14" s="8"/>
      <c r="H14" s="13"/>
      <c r="I14" s="11"/>
      <c r="J14" s="11"/>
      <c r="K14" s="8"/>
    </row>
    <row r="15" spans="1:15" ht="45" hidden="1" outlineLevel="1" x14ac:dyDescent="0.25">
      <c r="A15" s="10" t="s">
        <v>14</v>
      </c>
      <c r="B15" s="8">
        <v>300100</v>
      </c>
      <c r="C15" s="9">
        <v>300200</v>
      </c>
      <c r="D15" s="31">
        <v>327.8</v>
      </c>
      <c r="E15" s="32">
        <v>334.4</v>
      </c>
      <c r="F15" s="32">
        <v>337.7</v>
      </c>
      <c r="G15" s="8"/>
      <c r="H15" s="13"/>
      <c r="I15" s="11"/>
      <c r="J15" s="11"/>
      <c r="K15" s="8"/>
    </row>
    <row r="16" spans="1:15" ht="45" hidden="1" outlineLevel="1" x14ac:dyDescent="0.25">
      <c r="A16" s="10" t="s">
        <v>15</v>
      </c>
      <c r="B16" s="8">
        <v>22432</v>
      </c>
      <c r="C16" s="9">
        <v>21900</v>
      </c>
      <c r="D16" s="31">
        <v>22.4</v>
      </c>
      <c r="E16" s="32">
        <v>22.8</v>
      </c>
      <c r="F16" s="32">
        <v>23</v>
      </c>
      <c r="G16" s="8"/>
      <c r="H16" s="13"/>
      <c r="I16" s="11"/>
      <c r="J16" s="11"/>
      <c r="K16" s="8"/>
    </row>
    <row r="17" spans="1:18" collapsed="1" x14ac:dyDescent="0.3">
      <c r="A17" s="44" t="s">
        <v>49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8" ht="25.5" customHeight="1" x14ac:dyDescent="0.3">
      <c r="A18" s="44" t="s">
        <v>16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8" ht="45" customHeight="1" x14ac:dyDescent="0.2">
      <c r="A19" s="9" t="s">
        <v>59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8" ht="39" customHeight="1" x14ac:dyDescent="0.2">
      <c r="A20" s="43" t="s">
        <v>43</v>
      </c>
      <c r="B20" s="12">
        <v>8200</v>
      </c>
      <c r="C20" s="12">
        <v>8270</v>
      </c>
      <c r="D20" s="12">
        <v>8390</v>
      </c>
      <c r="E20" s="12">
        <v>8450</v>
      </c>
      <c r="F20" s="12">
        <v>8460</v>
      </c>
      <c r="G20" s="53">
        <v>1932.83</v>
      </c>
      <c r="H20" s="54">
        <v>2159.6</v>
      </c>
      <c r="I20" s="53">
        <v>2700</v>
      </c>
      <c r="J20" s="53">
        <v>2750</v>
      </c>
      <c r="K20" s="53">
        <v>2750</v>
      </c>
      <c r="L20" s="22"/>
      <c r="M20" s="22"/>
      <c r="N20" s="22"/>
      <c r="O20" s="22"/>
    </row>
    <row r="21" spans="1:18" hidden="1" outlineLevel="1" x14ac:dyDescent="0.2">
      <c r="A21" s="9" t="s">
        <v>9</v>
      </c>
      <c r="B21" s="12">
        <v>499884</v>
      </c>
      <c r="C21" s="12">
        <f>'[15]прил. 1 2013-2015 (в прик.(уто)'!$D$12+'[15]прил. 1 2013-2015 (в прик.(уто)'!$D$13+'[15]прил. 1 2013-2015 (в прик.(уто)'!$D$14+'[15]прил. 1 2013-2015 (в прик.(уто)'!$D$15+'[15]прил. 1 2013-2015 (в прик.(уто)'!$D$16</f>
        <v>462544</v>
      </c>
      <c r="D21" s="36">
        <v>501470</v>
      </c>
      <c r="E21" s="36">
        <v>513413</v>
      </c>
      <c r="F21" s="36">
        <v>520713</v>
      </c>
      <c r="G21" s="34">
        <v>359205.9</v>
      </c>
      <c r="H21" s="35">
        <v>404618.4</v>
      </c>
      <c r="I21" s="34">
        <f>376402.4+61431.8</f>
        <v>437834.2</v>
      </c>
      <c r="J21" s="34">
        <f>380458.8+76201.5</f>
        <v>456660.3</v>
      </c>
      <c r="K21" s="34">
        <f>J21</f>
        <v>456660.3</v>
      </c>
      <c r="L21" s="22" t="s">
        <v>17</v>
      </c>
      <c r="M21" s="22">
        <f>[13]индексация!E47+[13]индексация!T47+M65</f>
        <v>60695.200000000012</v>
      </c>
      <c r="N21" s="22">
        <f>[13]индексация!F47+[13]индексация!U47+N65</f>
        <v>75426.999999999985</v>
      </c>
      <c r="O21" s="22">
        <f>[13]индексация!G47+[13]индексация!V47-774.5</f>
        <v>75426.999999999985</v>
      </c>
    </row>
    <row r="22" spans="1:18" hidden="1" outlineLevel="1" x14ac:dyDescent="0.2">
      <c r="A22" s="9" t="s">
        <v>10</v>
      </c>
      <c r="B22" s="12">
        <v>265234</v>
      </c>
      <c r="C22" s="12">
        <f>'[15]прил. 1 2013-2015 (в прик.(уто)'!$D$17+'[15]прил. 1 2013-2015 (в прик.(уто)'!$D$18+'[15]прил. 1 2013-2015 (в прик.(уто)'!$D$19+'[15]прил. 1 2013-2015 (в прик.(уто)'!$D$20</f>
        <v>257761</v>
      </c>
      <c r="D22" s="36">
        <v>260200</v>
      </c>
      <c r="E22" s="36">
        <v>258361</v>
      </c>
      <c r="F22" s="36">
        <v>258811</v>
      </c>
      <c r="G22" s="34">
        <v>123882.5</v>
      </c>
      <c r="H22" s="35">
        <v>160305.9</v>
      </c>
      <c r="I22" s="34">
        <f>122611.7+M22</f>
        <v>150225.60000000001</v>
      </c>
      <c r="J22" s="34">
        <f>124013.8+N22</f>
        <v>159113.79999999999</v>
      </c>
      <c r="K22" s="34">
        <f>J22</f>
        <v>159113.79999999999</v>
      </c>
      <c r="L22" s="22" t="s">
        <v>17</v>
      </c>
      <c r="M22" s="22">
        <f>28882.8-1294.6-M66</f>
        <v>27613.9</v>
      </c>
      <c r="N22" s="22">
        <f>36249.7-1177.5-N66</f>
        <v>35100</v>
      </c>
      <c r="O22" s="22">
        <f>36249.7-1177.5-O66</f>
        <v>35100</v>
      </c>
    </row>
    <row r="23" spans="1:18" collapsed="1" x14ac:dyDescent="0.3">
      <c r="A23" s="44" t="s">
        <v>50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8" x14ac:dyDescent="0.3">
      <c r="A24" s="44" t="s">
        <v>51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spans="1:18" ht="37.5" x14ac:dyDescent="0.2">
      <c r="A25" s="9" t="s">
        <v>59</v>
      </c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8" ht="39" customHeight="1" x14ac:dyDescent="0.2">
      <c r="A26" s="43" t="s">
        <v>43</v>
      </c>
      <c r="B26" s="12">
        <v>315</v>
      </c>
      <c r="C26" s="12">
        <v>320</v>
      </c>
      <c r="D26" s="12">
        <v>327</v>
      </c>
      <c r="E26" s="12">
        <v>327</v>
      </c>
      <c r="F26" s="12">
        <v>327</v>
      </c>
      <c r="G26" s="53">
        <v>3490.08</v>
      </c>
      <c r="H26" s="53">
        <v>4258.5</v>
      </c>
      <c r="I26" s="53">
        <v>5464.79</v>
      </c>
      <c r="J26" s="53">
        <v>5685.63</v>
      </c>
      <c r="K26" s="53">
        <v>5685.63</v>
      </c>
    </row>
    <row r="27" spans="1:18" ht="37.5" hidden="1" outlineLevel="1" x14ac:dyDescent="0.2">
      <c r="A27" s="2" t="s">
        <v>3</v>
      </c>
      <c r="B27" s="12">
        <v>312758</v>
      </c>
      <c r="C27" s="12">
        <f>'[16]прил. 1 2013-2015 (в прик.(уто)'!$D$21</f>
        <v>290000</v>
      </c>
      <c r="D27" s="36">
        <v>293600</v>
      </c>
      <c r="E27" s="36">
        <v>299600</v>
      </c>
      <c r="F27" s="36">
        <v>302600</v>
      </c>
      <c r="G27" s="34">
        <v>221986.6</v>
      </c>
      <c r="H27" s="34">
        <v>248804.7</v>
      </c>
      <c r="I27" s="34">
        <f>241738.4+36730.3-952.2</f>
        <v>277516.5</v>
      </c>
      <c r="J27" s="34">
        <f>246065.8+45061.4-952.2</f>
        <v>290175</v>
      </c>
      <c r="K27" s="34">
        <f>J27</f>
        <v>290175</v>
      </c>
      <c r="L27" s="22" t="s">
        <v>18</v>
      </c>
      <c r="M27" s="22">
        <v>36730.300000000003</v>
      </c>
      <c r="N27" s="22">
        <v>45061.4</v>
      </c>
      <c r="O27" s="22">
        <v>45061.4</v>
      </c>
      <c r="P27" s="22">
        <v>952.19999999999993</v>
      </c>
      <c r="Q27" s="22">
        <v>952.19999999999993</v>
      </c>
      <c r="R27" s="22">
        <v>952.19999999999993</v>
      </c>
    </row>
    <row r="28" spans="1:18" ht="31.5" hidden="1" outlineLevel="1" x14ac:dyDescent="0.2">
      <c r="A28" s="2" t="s">
        <v>3</v>
      </c>
      <c r="B28" s="12">
        <v>234070</v>
      </c>
      <c r="C28" s="12">
        <f>'[16]прил. 1 2013-2015 (в прик.(уто)'!$D$22</f>
        <v>235080</v>
      </c>
      <c r="D28" s="12">
        <f>'[16]прил. 1 2013-2015 (в прик.(уто)'!$G$22</f>
        <v>235500</v>
      </c>
      <c r="E28" s="12">
        <f>'[16]прил. 1 2013-2015 (в прик.(уто)'!$J$22</f>
        <v>235550</v>
      </c>
      <c r="F28" s="12">
        <f>E28</f>
        <v>235550</v>
      </c>
      <c r="G28" s="34">
        <v>25264</v>
      </c>
      <c r="H28" s="34">
        <v>28015.4</v>
      </c>
      <c r="I28" s="34">
        <f>29315.5+4533.6</f>
        <v>33849.1</v>
      </c>
      <c r="J28" s="34">
        <f>29845.3+5535.2</f>
        <v>35380.5</v>
      </c>
      <c r="K28" s="34">
        <f>J28</f>
        <v>35380.5</v>
      </c>
      <c r="L28" s="22" t="s">
        <v>4</v>
      </c>
      <c r="M28" s="22">
        <v>4533.6000000000004</v>
      </c>
      <c r="N28" s="22">
        <v>5535.2</v>
      </c>
      <c r="O28" s="22">
        <v>5535.2</v>
      </c>
      <c r="P28" s="22"/>
      <c r="Q28" s="22"/>
      <c r="R28" s="22"/>
    </row>
    <row r="29" spans="1:18" ht="27" customHeight="1" collapsed="1" x14ac:dyDescent="0.3">
      <c r="A29" s="44" t="s">
        <v>46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8" ht="18.75" customHeight="1" x14ac:dyDescent="0.3">
      <c r="A30" s="45" t="s">
        <v>47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8" ht="37.5" x14ac:dyDescent="0.2">
      <c r="A31" s="9" t="s">
        <v>60</v>
      </c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8" s="22" customFormat="1" ht="31.5" x14ac:dyDescent="0.2">
      <c r="A32" s="43" t="s">
        <v>43</v>
      </c>
      <c r="B32" s="8">
        <v>220</v>
      </c>
      <c r="C32" s="8">
        <v>220</v>
      </c>
      <c r="D32" s="8">
        <v>220</v>
      </c>
      <c r="E32" s="8">
        <v>220</v>
      </c>
      <c r="F32" s="8">
        <v>220</v>
      </c>
      <c r="G32" s="51">
        <v>2310.12</v>
      </c>
      <c r="H32" s="51">
        <v>2636.4</v>
      </c>
      <c r="I32" s="51">
        <v>3180.65</v>
      </c>
      <c r="J32" s="51">
        <v>3217.04</v>
      </c>
      <c r="K32" s="51">
        <v>3217.04</v>
      </c>
      <c r="L32" s="22" t="s">
        <v>19</v>
      </c>
      <c r="M32" s="22">
        <v>45156.5</v>
      </c>
      <c r="N32" s="22">
        <v>59786.8</v>
      </c>
      <c r="O32" s="22">
        <v>59786.8</v>
      </c>
    </row>
    <row r="33" spans="1:18" s="22" customFormat="1" hidden="1" outlineLevel="1" x14ac:dyDescent="0.2">
      <c r="A33" s="9" t="s">
        <v>9</v>
      </c>
      <c r="B33" s="12">
        <f>3+2+6+3+9</f>
        <v>23</v>
      </c>
      <c r="C33" s="12">
        <f>2+3+3+3+2</f>
        <v>13</v>
      </c>
      <c r="D33" s="37">
        <f>2+1+2+2+1</f>
        <v>8</v>
      </c>
      <c r="E33" s="37">
        <f>2+1+2+2+1</f>
        <v>8</v>
      </c>
      <c r="F33" s="37">
        <f>2+1+2+2+1</f>
        <v>8</v>
      </c>
      <c r="G33" s="35">
        <v>34781.199999999997</v>
      </c>
      <c r="H33" s="35">
        <v>25392.6</v>
      </c>
      <c r="I33" s="34">
        <f>21924.6-3217.2</f>
        <v>18707.399999999998</v>
      </c>
      <c r="J33" s="34">
        <f>22025.8-3217.2</f>
        <v>18808.599999999999</v>
      </c>
      <c r="K33" s="34">
        <f>J33</f>
        <v>18808.599999999999</v>
      </c>
      <c r="L33" s="22" t="s">
        <v>17</v>
      </c>
      <c r="M33" s="22">
        <f>[13]индексация!T47</f>
        <v>-3217.2</v>
      </c>
      <c r="N33" s="22">
        <f>[13]индексация!U47</f>
        <v>-3217.2</v>
      </c>
      <c r="O33" s="22">
        <f>[13]индексация!V47</f>
        <v>-3217.2</v>
      </c>
      <c r="P33" s="22">
        <v>17831.5</v>
      </c>
      <c r="Q33" s="22">
        <v>17831.5</v>
      </c>
      <c r="R33" s="22">
        <v>17831.5</v>
      </c>
    </row>
    <row r="34" spans="1:18" s="22" customFormat="1" hidden="1" outlineLevel="1" x14ac:dyDescent="0.2">
      <c r="A34" s="9" t="s">
        <v>10</v>
      </c>
      <c r="B34" s="12">
        <f>3+8+8+1</f>
        <v>20</v>
      </c>
      <c r="C34" s="12">
        <f>3+7+7+1</f>
        <v>18</v>
      </c>
      <c r="D34" s="12">
        <f>3+3+3+2+2</f>
        <v>13</v>
      </c>
      <c r="E34" s="12">
        <f>3+3+3+2+2</f>
        <v>13</v>
      </c>
      <c r="F34" s="12">
        <f>3+3+3+2+2</f>
        <v>13</v>
      </c>
      <c r="G34" s="35">
        <v>11111.7</v>
      </c>
      <c r="H34" s="35">
        <v>10120.700000000001</v>
      </c>
      <c r="I34" s="34">
        <f>10592.1+2246.8</f>
        <v>12838.900000000001</v>
      </c>
      <c r="J34" s="34">
        <f>12981.5+2129.7</f>
        <v>15111.2</v>
      </c>
      <c r="K34" s="34">
        <f>J34</f>
        <v>15111.2</v>
      </c>
      <c r="L34" s="22" t="s">
        <v>17</v>
      </c>
      <c r="M34" s="22">
        <f>[13]индексация!T33</f>
        <v>2246.8000000000002</v>
      </c>
      <c r="N34" s="22">
        <f>[13]индексация!U33</f>
        <v>2129.6999999999994</v>
      </c>
      <c r="O34" s="22">
        <f>[13]индексация!V33</f>
        <v>2129.6999999999994</v>
      </c>
      <c r="P34" s="22">
        <v>10105.4</v>
      </c>
      <c r="Q34" s="23" t="e">
        <f>#REF!-Q33</f>
        <v>#REF!</v>
      </c>
      <c r="R34" s="23" t="e">
        <f>#REF!-R33</f>
        <v>#REF!</v>
      </c>
    </row>
    <row r="35" spans="1:18" ht="37.5" hidden="1" outlineLevel="1" x14ac:dyDescent="0.2">
      <c r="A35" s="9" t="s">
        <v>9</v>
      </c>
      <c r="B35" s="12">
        <f>58+28</f>
        <v>86</v>
      </c>
      <c r="C35" s="12">
        <v>48</v>
      </c>
      <c r="D35" s="37">
        <v>48</v>
      </c>
      <c r="E35" s="37">
        <v>48</v>
      </c>
      <c r="F35" s="37">
        <v>48</v>
      </c>
      <c r="G35" s="35"/>
      <c r="H35" s="35"/>
      <c r="I35" s="34"/>
      <c r="J35" s="34"/>
      <c r="K35" s="34"/>
      <c r="L35" s="22" t="s">
        <v>35</v>
      </c>
    </row>
    <row r="36" spans="1:18" hidden="1" outlineLevel="1" x14ac:dyDescent="0.2">
      <c r="A36" s="9" t="s">
        <v>10</v>
      </c>
      <c r="B36" s="12"/>
      <c r="C36" s="12">
        <v>150</v>
      </c>
      <c r="D36" s="37">
        <v>150</v>
      </c>
      <c r="E36" s="37">
        <v>150</v>
      </c>
      <c r="F36" s="37">
        <v>150</v>
      </c>
      <c r="G36" s="35">
        <v>7363.3</v>
      </c>
      <c r="H36" s="35">
        <v>12420.8</v>
      </c>
      <c r="I36" s="34">
        <v>13885</v>
      </c>
      <c r="J36" s="34">
        <v>14203.8</v>
      </c>
      <c r="K36" s="34">
        <f>J36</f>
        <v>14203.8</v>
      </c>
    </row>
    <row r="37" spans="1:18" s="22" customFormat="1" collapsed="1" x14ac:dyDescent="0.3">
      <c r="A37" s="45" t="s">
        <v>52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8" s="22" customFormat="1" x14ac:dyDescent="0.3">
      <c r="A38" s="44" t="s">
        <v>53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pans="1:18" s="22" customFormat="1" ht="37.5" x14ac:dyDescent="0.2">
      <c r="A39" s="9" t="s">
        <v>59</v>
      </c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8" s="22" customFormat="1" ht="31.5" x14ac:dyDescent="0.2">
      <c r="A40" s="43" t="s">
        <v>43</v>
      </c>
      <c r="B40" s="12">
        <v>27</v>
      </c>
      <c r="C40" s="12">
        <v>28</v>
      </c>
      <c r="D40" s="12">
        <v>29</v>
      </c>
      <c r="E40" s="12">
        <v>30</v>
      </c>
      <c r="F40" s="12">
        <v>31</v>
      </c>
      <c r="G40" s="54">
        <v>2129.38</v>
      </c>
      <c r="H40" s="54">
        <v>2424</v>
      </c>
      <c r="I40" s="53">
        <v>2924</v>
      </c>
      <c r="J40" s="53">
        <v>3050</v>
      </c>
      <c r="K40" s="53">
        <v>3050</v>
      </c>
    </row>
    <row r="41" spans="1:18" s="22" customFormat="1" hidden="1" outlineLevel="1" x14ac:dyDescent="0.2">
      <c r="A41" s="9" t="s">
        <v>9</v>
      </c>
      <c r="B41" s="12"/>
      <c r="C41" s="12"/>
      <c r="D41" s="37"/>
      <c r="E41" s="37"/>
      <c r="F41" s="37"/>
      <c r="G41" s="35"/>
      <c r="H41" s="35"/>
      <c r="I41" s="34"/>
      <c r="J41" s="34"/>
      <c r="K41" s="34"/>
    </row>
    <row r="42" spans="1:18" s="22" customFormat="1" hidden="1" outlineLevel="1" x14ac:dyDescent="0.2">
      <c r="A42" s="9" t="s">
        <v>10</v>
      </c>
      <c r="B42" s="12">
        <v>92</v>
      </c>
      <c r="C42" s="12">
        <v>27</v>
      </c>
      <c r="D42" s="37">
        <v>27</v>
      </c>
      <c r="E42" s="37">
        <v>27</v>
      </c>
      <c r="F42" s="37">
        <v>27</v>
      </c>
      <c r="G42" s="35">
        <v>3912.1</v>
      </c>
      <c r="H42" s="35">
        <f>'[17]прил. 2 2013-2015 (в прик. раб.'!$N$78</f>
        <v>1687.4</v>
      </c>
      <c r="I42" s="34">
        <f>'[17]прил. 2 2013-2015 (в прик. раб.'!$Q$78</f>
        <v>1763.9</v>
      </c>
      <c r="J42" s="34">
        <f>'[17]прил. 2 2013-2015 (в прик. раб.'!$T$78</f>
        <v>1807.6</v>
      </c>
      <c r="K42" s="34">
        <f>J42</f>
        <v>1807.6</v>
      </c>
      <c r="L42" s="22" t="s">
        <v>36</v>
      </c>
    </row>
    <row r="43" spans="1:18" s="22" customFormat="1" hidden="1" outlineLevel="1" x14ac:dyDescent="0.2">
      <c r="A43" s="9" t="s">
        <v>9</v>
      </c>
      <c r="B43" s="12"/>
      <c r="C43" s="12"/>
      <c r="D43" s="37"/>
      <c r="E43" s="37"/>
      <c r="F43" s="37"/>
      <c r="G43" s="35"/>
      <c r="H43" s="35"/>
      <c r="I43" s="34"/>
      <c r="J43" s="34"/>
      <c r="K43" s="34"/>
    </row>
    <row r="44" spans="1:18" s="22" customFormat="1" hidden="1" outlineLevel="1" x14ac:dyDescent="0.2">
      <c r="A44" s="9" t="s">
        <v>10</v>
      </c>
      <c r="B44" s="12">
        <v>5718</v>
      </c>
      <c r="C44" s="37">
        <v>4274</v>
      </c>
      <c r="D44" s="37">
        <v>4274</v>
      </c>
      <c r="E44" s="37">
        <v>4274</v>
      </c>
      <c r="F44" s="37">
        <v>4274</v>
      </c>
      <c r="G44" s="35">
        <v>15336.5</v>
      </c>
      <c r="H44" s="35">
        <f>17212</f>
        <v>17212</v>
      </c>
      <c r="I44" s="34">
        <f>18021+M44</f>
        <v>20666.8</v>
      </c>
      <c r="J44" s="34">
        <f>18356.8+N44</f>
        <v>21715.699999999997</v>
      </c>
      <c r="K44" s="34">
        <f>J44</f>
        <v>21715.699999999997</v>
      </c>
      <c r="L44" s="22" t="s">
        <v>36</v>
      </c>
      <c r="M44" s="22">
        <f>2946.4+M67</f>
        <v>2645.8</v>
      </c>
      <c r="N44" s="22">
        <f>3661.7+N67</f>
        <v>3358.8999999999996</v>
      </c>
      <c r="O44" s="22">
        <f>3661.7+O67</f>
        <v>3358.8999999999996</v>
      </c>
    </row>
    <row r="45" spans="1:18" ht="42.75" customHeight="1" collapsed="1" x14ac:dyDescent="0.3">
      <c r="A45" s="45" t="s">
        <v>48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</row>
    <row r="46" spans="1:18" x14ac:dyDescent="0.3">
      <c r="A46" s="44" t="s">
        <v>54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</row>
    <row r="47" spans="1:18" ht="60" hidden="1" outlineLevel="1" x14ac:dyDescent="0.25">
      <c r="A47" s="38" t="s">
        <v>22</v>
      </c>
      <c r="B47" s="8">
        <v>511</v>
      </c>
      <c r="C47" s="9">
        <v>500</v>
      </c>
      <c r="D47" s="9">
        <v>503</v>
      </c>
      <c r="E47" s="9">
        <v>500</v>
      </c>
      <c r="F47" s="8">
        <v>500</v>
      </c>
      <c r="G47" s="8">
        <v>1810.8</v>
      </c>
      <c r="H47" s="30">
        <v>1041.3</v>
      </c>
      <c r="I47" s="13">
        <f>1659.9-76.9</f>
        <v>1583</v>
      </c>
      <c r="J47" s="13">
        <f>1664.9-83.2</f>
        <v>1581.7</v>
      </c>
      <c r="K47" s="8">
        <f>J47</f>
        <v>1581.7</v>
      </c>
      <c r="L47" s="22"/>
      <c r="M47" s="22">
        <v>-76.900000000000006</v>
      </c>
      <c r="N47" s="22">
        <v>-83.2</v>
      </c>
      <c r="O47" s="22">
        <v>-83.2</v>
      </c>
    </row>
    <row r="48" spans="1:18" ht="75" hidden="1" outlineLevel="1" x14ac:dyDescent="0.25">
      <c r="A48" s="38" t="s">
        <v>23</v>
      </c>
      <c r="B48" s="8">
        <v>210</v>
      </c>
      <c r="C48" s="9">
        <v>204</v>
      </c>
      <c r="D48" s="9">
        <v>209</v>
      </c>
      <c r="E48" s="9">
        <v>209</v>
      </c>
      <c r="F48" s="8">
        <v>209</v>
      </c>
      <c r="G48" s="25">
        <v>5043.5</v>
      </c>
      <c r="H48" s="13">
        <v>2841.7</v>
      </c>
      <c r="I48" s="13">
        <f>2891.6-15.4</f>
        <v>2876.2</v>
      </c>
      <c r="J48" s="13">
        <f>2893.6-15.4</f>
        <v>2878.2</v>
      </c>
      <c r="K48" s="13">
        <f>2893.6-15.4</f>
        <v>2878.2</v>
      </c>
      <c r="L48" s="22"/>
      <c r="M48" s="22">
        <v>-15.4</v>
      </c>
      <c r="N48" s="22">
        <v>-16.600000000000001</v>
      </c>
      <c r="O48" s="22">
        <v>-16.600000000000001</v>
      </c>
    </row>
    <row r="49" spans="1:19" ht="45" hidden="1" outlineLevel="1" x14ac:dyDescent="0.25">
      <c r="A49" s="38" t="s">
        <v>24</v>
      </c>
      <c r="B49" s="8">
        <v>405</v>
      </c>
      <c r="C49" s="9">
        <v>383</v>
      </c>
      <c r="D49" s="9">
        <v>383</v>
      </c>
      <c r="E49" s="9">
        <v>383</v>
      </c>
      <c r="F49" s="9">
        <v>383</v>
      </c>
      <c r="G49" s="25"/>
      <c r="H49" s="13">
        <v>1056.5999999999999</v>
      </c>
      <c r="I49" s="13">
        <v>783</v>
      </c>
      <c r="J49" s="13">
        <v>800.4</v>
      </c>
      <c r="K49" s="8">
        <f t="shared" ref="K49:K55" si="0">J49</f>
        <v>800.4</v>
      </c>
    </row>
    <row r="50" spans="1:19" ht="45" hidden="1" outlineLevel="1" x14ac:dyDescent="0.25">
      <c r="A50" s="38" t="s">
        <v>25</v>
      </c>
      <c r="B50" s="8">
        <v>657</v>
      </c>
      <c r="C50" s="9">
        <v>566</v>
      </c>
      <c r="D50" s="9">
        <v>572</v>
      </c>
      <c r="E50" s="9">
        <v>572</v>
      </c>
      <c r="F50" s="8">
        <v>572</v>
      </c>
      <c r="G50" s="25"/>
      <c r="H50" s="13">
        <v>1072.3</v>
      </c>
      <c r="I50" s="13">
        <v>1101.7</v>
      </c>
      <c r="J50" s="13">
        <v>922.5</v>
      </c>
      <c r="K50" s="8">
        <f t="shared" si="0"/>
        <v>922.5</v>
      </c>
    </row>
    <row r="51" spans="1:19" ht="60" hidden="1" outlineLevel="1" x14ac:dyDescent="0.25">
      <c r="A51" s="38" t="s">
        <v>11</v>
      </c>
      <c r="B51" s="8">
        <v>592</v>
      </c>
      <c r="C51" s="9">
        <v>588</v>
      </c>
      <c r="D51" s="9">
        <v>589</v>
      </c>
      <c r="E51" s="9">
        <v>590</v>
      </c>
      <c r="F51" s="8">
        <v>590</v>
      </c>
      <c r="G51" s="25">
        <v>37069.5</v>
      </c>
      <c r="H51" s="13">
        <v>6361</v>
      </c>
      <c r="I51" s="13">
        <v>6877.9</v>
      </c>
      <c r="J51" s="13">
        <v>6902.2</v>
      </c>
      <c r="K51" s="8">
        <f t="shared" si="0"/>
        <v>6902.2</v>
      </c>
    </row>
    <row r="52" spans="1:19" ht="45" hidden="1" outlineLevel="1" x14ac:dyDescent="0.25">
      <c r="A52" s="38" t="s">
        <v>12</v>
      </c>
      <c r="B52" s="8">
        <v>164</v>
      </c>
      <c r="C52" s="9">
        <v>165</v>
      </c>
      <c r="D52" s="9">
        <v>167</v>
      </c>
      <c r="E52" s="9">
        <v>169</v>
      </c>
      <c r="F52" s="8">
        <v>169</v>
      </c>
      <c r="G52" s="25"/>
      <c r="H52" s="13">
        <v>2528.9</v>
      </c>
      <c r="I52" s="13">
        <v>2745.7</v>
      </c>
      <c r="J52" s="13">
        <v>2664.8</v>
      </c>
      <c r="K52" s="8">
        <f t="shared" si="0"/>
        <v>2664.8</v>
      </c>
    </row>
    <row r="53" spans="1:19" ht="45" hidden="1" outlineLevel="1" x14ac:dyDescent="0.25">
      <c r="A53" s="38" t="s">
        <v>13</v>
      </c>
      <c r="B53" s="8">
        <v>465</v>
      </c>
      <c r="C53" s="9">
        <v>280</v>
      </c>
      <c r="D53" s="9">
        <v>290</v>
      </c>
      <c r="E53" s="9">
        <v>290</v>
      </c>
      <c r="F53" s="8">
        <v>290</v>
      </c>
      <c r="G53" s="25"/>
      <c r="H53" s="13">
        <v>3033.8</v>
      </c>
      <c r="I53" s="13">
        <v>3065.9</v>
      </c>
      <c r="J53" s="13">
        <v>3834.3</v>
      </c>
      <c r="K53" s="8">
        <f t="shared" si="0"/>
        <v>3834.3</v>
      </c>
    </row>
    <row r="54" spans="1:19" ht="45" hidden="1" outlineLevel="1" x14ac:dyDescent="0.25">
      <c r="A54" s="38" t="s">
        <v>14</v>
      </c>
      <c r="B54" s="8">
        <v>220</v>
      </c>
      <c r="C54" s="8">
        <v>220</v>
      </c>
      <c r="D54" s="8">
        <v>220</v>
      </c>
      <c r="E54" s="8">
        <v>220</v>
      </c>
      <c r="F54" s="8">
        <v>220</v>
      </c>
      <c r="G54" s="25"/>
      <c r="H54" s="13">
        <v>950</v>
      </c>
      <c r="I54" s="13">
        <v>600</v>
      </c>
      <c r="J54" s="13">
        <v>700</v>
      </c>
      <c r="K54" s="8">
        <f t="shared" si="0"/>
        <v>700</v>
      </c>
    </row>
    <row r="55" spans="1:19" ht="45" hidden="1" outlineLevel="1" x14ac:dyDescent="0.25">
      <c r="A55" s="38" t="s">
        <v>15</v>
      </c>
      <c r="B55" s="8">
        <v>99</v>
      </c>
      <c r="C55" s="9">
        <v>100</v>
      </c>
      <c r="D55" s="9">
        <v>102</v>
      </c>
      <c r="E55" s="9">
        <v>102</v>
      </c>
      <c r="F55" s="8">
        <v>102</v>
      </c>
      <c r="G55" s="25"/>
      <c r="H55" s="13">
        <v>1654.2</v>
      </c>
      <c r="I55" s="13">
        <v>1799.2</v>
      </c>
      <c r="J55" s="13">
        <v>1911</v>
      </c>
      <c r="K55" s="8">
        <f t="shared" si="0"/>
        <v>1911</v>
      </c>
    </row>
    <row r="56" spans="1:19" ht="37.5" collapsed="1" x14ac:dyDescent="0.2">
      <c r="A56" s="9" t="s">
        <v>59</v>
      </c>
      <c r="B56" s="8"/>
      <c r="C56" s="8"/>
      <c r="D56" s="8"/>
      <c r="E56" s="8"/>
      <c r="F56" s="8"/>
      <c r="G56" s="8"/>
      <c r="H56" s="8"/>
      <c r="I56" s="9"/>
      <c r="J56" s="9"/>
      <c r="K56" s="8"/>
    </row>
    <row r="57" spans="1:19" ht="31.5" x14ac:dyDescent="0.2">
      <c r="A57" s="43" t="s">
        <v>43</v>
      </c>
      <c r="B57" s="8">
        <v>23</v>
      </c>
      <c r="C57" s="8">
        <v>28</v>
      </c>
      <c r="D57" s="8">
        <v>32</v>
      </c>
      <c r="E57" s="8">
        <v>33</v>
      </c>
      <c r="F57" s="8">
        <v>34</v>
      </c>
      <c r="G57" s="51">
        <v>2168.65</v>
      </c>
      <c r="H57" s="52">
        <v>2440.1</v>
      </c>
      <c r="I57" s="52">
        <v>2985</v>
      </c>
      <c r="J57" s="52">
        <v>3100</v>
      </c>
      <c r="K57" s="51">
        <v>3100</v>
      </c>
    </row>
    <row r="58" spans="1:19" ht="45" hidden="1" outlineLevel="1" x14ac:dyDescent="0.25">
      <c r="A58" s="38" t="s">
        <v>26</v>
      </c>
      <c r="B58" s="39">
        <f>'[18]дома бюджет'!$E$9</f>
        <v>40</v>
      </c>
      <c r="C58" s="9">
        <v>24</v>
      </c>
      <c r="D58" s="9">
        <v>24</v>
      </c>
      <c r="E58" s="9">
        <v>24</v>
      </c>
      <c r="F58" s="8">
        <v>24</v>
      </c>
      <c r="G58" s="25"/>
      <c r="H58" s="13">
        <v>13619.9</v>
      </c>
      <c r="I58" s="13">
        <f>15511.6+4490.5</f>
        <v>20002.099999999999</v>
      </c>
      <c r="J58" s="13">
        <f>15736.5+5575.4</f>
        <v>21311.9</v>
      </c>
      <c r="K58" s="8">
        <f>J58</f>
        <v>21311.9</v>
      </c>
      <c r="L58" s="22"/>
      <c r="M58" s="22">
        <v>4490.5</v>
      </c>
      <c r="N58" s="22">
        <v>5575.4</v>
      </c>
      <c r="O58" s="22">
        <v>5575.4</v>
      </c>
    </row>
    <row r="59" spans="1:19" ht="30" hidden="1" outlineLevel="1" x14ac:dyDescent="0.25">
      <c r="A59" s="40" t="s">
        <v>27</v>
      </c>
      <c r="B59" s="39">
        <f>'[18]дома бюджет'!$E$8</f>
        <v>200</v>
      </c>
      <c r="C59" s="9">
        <f>143+32</f>
        <v>175</v>
      </c>
      <c r="D59" s="9">
        <f>143+32</f>
        <v>175</v>
      </c>
      <c r="E59" s="9">
        <f>143+32</f>
        <v>175</v>
      </c>
      <c r="F59" s="9">
        <f>143+32</f>
        <v>175</v>
      </c>
      <c r="G59" s="25"/>
      <c r="H59" s="13">
        <v>6534.6</v>
      </c>
      <c r="I59" s="13">
        <f>7372.2+1616.8</f>
        <v>8989</v>
      </c>
      <c r="J59" s="13">
        <f>7360.3+1813.9</f>
        <v>9174.2000000000007</v>
      </c>
      <c r="K59" s="8">
        <f>J59</f>
        <v>9174.2000000000007</v>
      </c>
      <c r="L59" s="22"/>
      <c r="M59" s="22">
        <v>1616.8</v>
      </c>
      <c r="N59" s="22">
        <v>1813.9</v>
      </c>
      <c r="O59" s="22">
        <v>1813.9</v>
      </c>
    </row>
    <row r="60" spans="1:19" ht="45" hidden="1" outlineLevel="1" x14ac:dyDescent="0.25">
      <c r="A60" s="38" t="s">
        <v>28</v>
      </c>
      <c r="B60" s="8">
        <v>7</v>
      </c>
      <c r="C60" s="9">
        <v>3</v>
      </c>
      <c r="D60" s="9">
        <v>3</v>
      </c>
      <c r="E60" s="9">
        <v>3</v>
      </c>
      <c r="F60" s="9">
        <v>3</v>
      </c>
      <c r="G60" s="25"/>
      <c r="H60" s="13">
        <v>149.69999999999999</v>
      </c>
      <c r="I60" s="13">
        <v>148.69999999999999</v>
      </c>
      <c r="J60" s="13">
        <v>192.1</v>
      </c>
      <c r="K60" s="8">
        <f>J60</f>
        <v>192.1</v>
      </c>
    </row>
    <row r="61" spans="1:19" ht="45" hidden="1" outlineLevel="1" x14ac:dyDescent="0.25">
      <c r="A61" s="38" t="s">
        <v>29</v>
      </c>
      <c r="B61" s="8">
        <v>50</v>
      </c>
      <c r="C61" s="9">
        <v>51</v>
      </c>
      <c r="D61" s="9">
        <v>42</v>
      </c>
      <c r="E61" s="9">
        <v>43</v>
      </c>
      <c r="F61" s="8">
        <v>43</v>
      </c>
      <c r="G61" s="25">
        <v>121452</v>
      </c>
      <c r="H61" s="13">
        <v>66545.8</v>
      </c>
      <c r="I61" s="13">
        <f>106758.5-3758.1+6088.3</f>
        <v>109088.7</v>
      </c>
      <c r="J61" s="13">
        <f>99805.4-4060.3-41343</f>
        <v>54402.099999999991</v>
      </c>
      <c r="K61" s="8">
        <f>99805.4-4684.2+7684.9</f>
        <v>102806.09999999999</v>
      </c>
      <c r="L61" s="22"/>
      <c r="M61" s="22">
        <v>-3758.1</v>
      </c>
      <c r="N61" s="22">
        <v>-4060.3</v>
      </c>
      <c r="O61" s="22">
        <v>-4684.2</v>
      </c>
      <c r="P61" s="22">
        <v>6088.3</v>
      </c>
      <c r="Q61" s="22">
        <v>-41342.6</v>
      </c>
      <c r="R61" s="22">
        <v>7684.9</v>
      </c>
      <c r="S61" s="22"/>
    </row>
    <row r="62" spans="1:19" ht="45" hidden="1" outlineLevel="1" x14ac:dyDescent="0.25">
      <c r="A62" s="38" t="s">
        <v>30</v>
      </c>
      <c r="B62" s="39">
        <f>'[18]дома бюджет'!$E$7</f>
        <v>53</v>
      </c>
      <c r="C62" s="9">
        <v>51</v>
      </c>
      <c r="D62" s="9">
        <v>51</v>
      </c>
      <c r="E62" s="9">
        <v>51</v>
      </c>
      <c r="F62" s="8">
        <v>51</v>
      </c>
      <c r="G62" s="25">
        <v>38641.800000000003</v>
      </c>
      <c r="H62" s="13">
        <v>32244.3</v>
      </c>
      <c r="I62" s="13">
        <f>32337.5-1379.2</f>
        <v>30958.3</v>
      </c>
      <c r="J62" s="13">
        <f>31818.2-1379.2</f>
        <v>30439</v>
      </c>
      <c r="K62" s="8">
        <f>J62</f>
        <v>30439</v>
      </c>
      <c r="L62" s="22"/>
      <c r="M62" s="22">
        <v>-1379.2</v>
      </c>
      <c r="N62" s="22">
        <v>-1379.2</v>
      </c>
      <c r="O62" s="22">
        <v>-1379.2</v>
      </c>
    </row>
    <row r="63" spans="1:19" ht="60" hidden="1" outlineLevel="1" x14ac:dyDescent="0.25">
      <c r="A63" s="38" t="s">
        <v>31</v>
      </c>
      <c r="B63" s="8">
        <v>1</v>
      </c>
      <c r="C63" s="9">
        <v>1</v>
      </c>
      <c r="D63" s="9"/>
      <c r="E63" s="9"/>
      <c r="F63" s="8"/>
      <c r="G63" s="8">
        <v>2042.6</v>
      </c>
      <c r="H63" s="13">
        <v>2369.6</v>
      </c>
      <c r="I63" s="13"/>
      <c r="J63" s="13"/>
      <c r="K63" s="8"/>
    </row>
    <row r="64" spans="1:19" ht="45" hidden="1" outlineLevel="1" x14ac:dyDescent="0.25">
      <c r="A64" s="38" t="s">
        <v>39</v>
      </c>
      <c r="B64" s="8"/>
      <c r="C64" s="9"/>
      <c r="D64" s="9">
        <v>1</v>
      </c>
      <c r="E64" s="9">
        <v>1</v>
      </c>
      <c r="F64" s="9">
        <v>1</v>
      </c>
      <c r="G64" s="8"/>
      <c r="H64" s="13"/>
      <c r="I64" s="30">
        <v>2309</v>
      </c>
      <c r="J64" s="30">
        <v>2472.9</v>
      </c>
      <c r="K64" s="29">
        <v>2472.9</v>
      </c>
    </row>
    <row r="65" spans="1:15" ht="45" hidden="1" outlineLevel="1" x14ac:dyDescent="0.25">
      <c r="A65" s="38" t="s">
        <v>32</v>
      </c>
      <c r="B65" s="8">
        <v>2</v>
      </c>
      <c r="C65" s="9">
        <v>1</v>
      </c>
      <c r="D65" s="9">
        <v>2</v>
      </c>
      <c r="E65" s="9">
        <v>2</v>
      </c>
      <c r="F65" s="8">
        <v>2</v>
      </c>
      <c r="G65" s="8"/>
      <c r="H65" s="13">
        <v>7390.9</v>
      </c>
      <c r="I65" s="13">
        <f>12979.8-736.6</f>
        <v>12243.199999999999</v>
      </c>
      <c r="J65" s="13">
        <f>13719.4-774.5</f>
        <v>12944.9</v>
      </c>
      <c r="K65" s="8">
        <f>J65</f>
        <v>12944.9</v>
      </c>
      <c r="M65" s="22">
        <v>-736.6</v>
      </c>
      <c r="N65" s="22">
        <v>-774.5</v>
      </c>
      <c r="O65" s="22">
        <v>-774.5</v>
      </c>
    </row>
    <row r="66" spans="1:15" ht="45" hidden="1" outlineLevel="1" x14ac:dyDescent="0.25">
      <c r="A66" s="38" t="s">
        <v>33</v>
      </c>
      <c r="B66" s="8">
        <v>1</v>
      </c>
      <c r="C66" s="8">
        <v>1</v>
      </c>
      <c r="D66" s="8">
        <v>1</v>
      </c>
      <c r="E66" s="8">
        <v>1</v>
      </c>
      <c r="F66" s="8">
        <v>1</v>
      </c>
      <c r="G66" s="8">
        <v>477.3</v>
      </c>
      <c r="H66" s="13">
        <v>644.70000000000005</v>
      </c>
      <c r="I66" s="13">
        <f>644.7-25.7</f>
        <v>619</v>
      </c>
      <c r="J66" s="13">
        <f>555.1-27.8</f>
        <v>527.30000000000007</v>
      </c>
      <c r="K66" s="8">
        <f>J66</f>
        <v>527.30000000000007</v>
      </c>
      <c r="L66" s="22"/>
      <c r="M66" s="22">
        <v>-25.7</v>
      </c>
      <c r="N66" s="22">
        <v>-27.8</v>
      </c>
      <c r="O66" s="22">
        <v>-27.8</v>
      </c>
    </row>
    <row r="67" spans="1:15" s="22" customFormat="1" ht="45" hidden="1" outlineLevel="1" x14ac:dyDescent="0.25">
      <c r="A67" s="38" t="s">
        <v>34</v>
      </c>
      <c r="B67" s="8">
        <v>2</v>
      </c>
      <c r="C67" s="9">
        <v>2</v>
      </c>
      <c r="D67" s="9">
        <v>2</v>
      </c>
      <c r="E67" s="9">
        <v>2</v>
      </c>
      <c r="F67" s="8">
        <v>2</v>
      </c>
      <c r="G67" s="8">
        <v>6000</v>
      </c>
      <c r="H67" s="13">
        <v>4777.3999999999996</v>
      </c>
      <c r="I67" s="13">
        <f>6085.6-300.6</f>
        <v>5785</v>
      </c>
      <c r="J67" s="13">
        <f>6034.2-302.8</f>
        <v>5731.4</v>
      </c>
      <c r="K67" s="8">
        <f>J67</f>
        <v>5731.4</v>
      </c>
      <c r="M67" s="22">
        <v>-300.60000000000002</v>
      </c>
      <c r="N67" s="22">
        <v>-302.8</v>
      </c>
      <c r="O67" s="22">
        <v>-302.8</v>
      </c>
    </row>
    <row r="68" spans="1:15" s="22" customFormat="1" ht="42" customHeight="1" collapsed="1" x14ac:dyDescent="0.3">
      <c r="A68" s="45" t="s">
        <v>55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</row>
    <row r="69" spans="1:15" s="22" customFormat="1" x14ac:dyDescent="0.3">
      <c r="A69" s="44" t="s">
        <v>40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</row>
    <row r="70" spans="1:15" s="22" customFormat="1" ht="37.5" x14ac:dyDescent="0.2">
      <c r="A70" s="9" t="s">
        <v>60</v>
      </c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5" s="22" customFormat="1" ht="31.5" x14ac:dyDescent="0.2">
      <c r="A71" s="43" t="s">
        <v>43</v>
      </c>
      <c r="B71" s="8">
        <v>57</v>
      </c>
      <c r="C71" s="8">
        <v>59</v>
      </c>
      <c r="D71" s="8">
        <v>60</v>
      </c>
      <c r="E71" s="8">
        <v>60</v>
      </c>
      <c r="F71" s="8">
        <v>61</v>
      </c>
      <c r="G71" s="51">
        <v>2310.12</v>
      </c>
      <c r="H71" s="51">
        <v>2636.4</v>
      </c>
      <c r="I71" s="51">
        <v>3180.65</v>
      </c>
      <c r="J71" s="51">
        <v>3217.04</v>
      </c>
      <c r="K71" s="51">
        <v>3217.04</v>
      </c>
      <c r="L71" s="22" t="s">
        <v>19</v>
      </c>
    </row>
    <row r="72" spans="1:15" ht="75" hidden="1" outlineLevel="1" x14ac:dyDescent="0.2">
      <c r="A72" s="19" t="s">
        <v>37</v>
      </c>
      <c r="B72" s="21">
        <v>20</v>
      </c>
      <c r="C72" s="21">
        <v>25</v>
      </c>
      <c r="D72" s="21">
        <v>27</v>
      </c>
      <c r="E72" s="21">
        <v>28</v>
      </c>
      <c r="F72" s="21">
        <v>28</v>
      </c>
      <c r="G72" s="21">
        <v>2453.3000000000002</v>
      </c>
      <c r="H72" s="21">
        <v>6323.2</v>
      </c>
      <c r="I72" s="21">
        <f>6947.6</f>
        <v>6947.6</v>
      </c>
      <c r="J72" s="21">
        <f>6968.4</f>
        <v>6968.4</v>
      </c>
      <c r="K72" s="21">
        <f>6968.4</f>
        <v>6968.4</v>
      </c>
      <c r="L72" s="22" t="s">
        <v>38</v>
      </c>
      <c r="M72" s="22">
        <v>2440</v>
      </c>
      <c r="N72" s="22">
        <v>2140</v>
      </c>
      <c r="O72" s="22">
        <v>0</v>
      </c>
    </row>
    <row r="73" spans="1:15" collapsed="1" x14ac:dyDescent="0.2">
      <c r="A73" s="4"/>
      <c r="B73" s="14"/>
      <c r="C73" s="14"/>
      <c r="D73" s="14"/>
      <c r="E73" s="14"/>
      <c r="F73" s="14"/>
      <c r="G73" s="14"/>
      <c r="H73" s="18"/>
      <c r="I73" s="17"/>
      <c r="J73" s="17"/>
      <c r="K73" s="17"/>
    </row>
    <row r="74" spans="1:15" hidden="1" outlineLevel="1" x14ac:dyDescent="0.2">
      <c r="A74" s="4"/>
      <c r="B74" s="14"/>
      <c r="C74" s="14"/>
      <c r="D74" s="14"/>
      <c r="E74" s="14"/>
      <c r="F74" s="14"/>
      <c r="G74" s="14"/>
      <c r="H74" s="20" t="e">
        <f>#REF!+#REF!+#REF!+H71+H57+#REF!+H44+H42+#REF!+#REF!+#REF!+#REF!+#REF!</f>
        <v>#REF!</v>
      </c>
      <c r="I74" s="20" t="e">
        <f>#REF!+#REF!+#REF!+I71+I57+#REF!+I44+I42+#REF!+#REF!+#REF!+#REF!+#REF!</f>
        <v>#REF!</v>
      </c>
      <c r="J74" s="20" t="e">
        <f>#REF!+#REF!+#REF!+J71+J57+#REF!+J44+J42+#REF!+#REF!+#REF!+#REF!+#REF!</f>
        <v>#REF!</v>
      </c>
      <c r="K74" s="20" t="e">
        <f>#REF!+#REF!+#REF!+K71+K57+#REF!+K44+K42+#REF!+#REF!+#REF!+#REF!+#REF!</f>
        <v>#REF!</v>
      </c>
    </row>
    <row r="75" spans="1:15" hidden="1" outlineLevel="1" x14ac:dyDescent="0.2">
      <c r="A75" s="4"/>
      <c r="B75" s="14"/>
      <c r="C75" s="14"/>
      <c r="D75" s="14"/>
      <c r="E75" s="14"/>
      <c r="F75" s="14"/>
      <c r="G75" s="14"/>
      <c r="H75" s="18"/>
      <c r="I75" s="17"/>
      <c r="J75" s="17"/>
      <c r="K75" s="17"/>
    </row>
    <row r="76" spans="1:15" hidden="1" outlineLevel="1" x14ac:dyDescent="0.2">
      <c r="A76" s="4"/>
      <c r="B76" s="14"/>
      <c r="C76" s="14"/>
      <c r="D76" s="14"/>
      <c r="E76" s="14"/>
      <c r="F76" s="14"/>
      <c r="G76" s="14"/>
      <c r="H76" s="20">
        <f>'[17]прил. 2 2013-2015 (в прик. раб.'!$N$81</f>
        <v>343578.5</v>
      </c>
      <c r="I76" s="20">
        <f>'[17]прил. 2 2013-2015 (в прик. раб.'!$Q$81</f>
        <v>403331.4</v>
      </c>
      <c r="J76" s="20">
        <f>'[17]прил. 2 2013-2015 (в прик. раб.'!$T$81</f>
        <v>401734.5</v>
      </c>
      <c r="K76" s="17"/>
    </row>
    <row r="77" spans="1:15" hidden="1" outlineLevel="1" x14ac:dyDescent="0.2">
      <c r="A77" s="4"/>
      <c r="B77" s="14"/>
      <c r="C77" s="14"/>
      <c r="D77" s="14"/>
      <c r="E77" s="14"/>
      <c r="F77" s="14"/>
      <c r="G77" s="14"/>
      <c r="H77" s="18"/>
      <c r="I77" s="17"/>
      <c r="J77" s="17"/>
      <c r="K77" s="17"/>
    </row>
    <row r="78" spans="1:15" hidden="1" outlineLevel="1" x14ac:dyDescent="0.2">
      <c r="A78" s="4"/>
      <c r="B78" s="20">
        <f t="shared" ref="B78:G78" si="1">B76-B74</f>
        <v>0</v>
      </c>
      <c r="C78" s="20">
        <f t="shared" si="1"/>
        <v>0</v>
      </c>
      <c r="D78" s="20">
        <f t="shared" si="1"/>
        <v>0</v>
      </c>
      <c r="E78" s="20">
        <f t="shared" si="1"/>
        <v>0</v>
      </c>
      <c r="F78" s="20">
        <f t="shared" si="1"/>
        <v>0</v>
      </c>
      <c r="G78" s="20">
        <f t="shared" si="1"/>
        <v>0</v>
      </c>
      <c r="H78" s="20" t="e">
        <f>H76-H74</f>
        <v>#REF!</v>
      </c>
      <c r="I78" s="20" t="e">
        <f>I76-I74</f>
        <v>#REF!</v>
      </c>
      <c r="J78" s="20" t="e">
        <f>J76-J74</f>
        <v>#REF!</v>
      </c>
      <c r="K78" s="20" t="e">
        <f>K76-K74</f>
        <v>#REF!</v>
      </c>
    </row>
    <row r="79" spans="1:15" hidden="1" outlineLevel="1" x14ac:dyDescent="0.2">
      <c r="A79" s="4"/>
      <c r="B79" s="14"/>
      <c r="C79" s="14"/>
      <c r="D79" s="14"/>
      <c r="E79" s="14"/>
      <c r="F79" s="14"/>
      <c r="G79" s="14"/>
      <c r="H79" s="18"/>
      <c r="I79" s="17"/>
      <c r="J79" s="17"/>
      <c r="K79" s="17"/>
    </row>
    <row r="80" spans="1:15" hidden="1" outlineLevel="1" x14ac:dyDescent="0.2">
      <c r="A80" s="15"/>
      <c r="B80" s="14"/>
      <c r="C80" s="15"/>
      <c r="D80" s="15"/>
      <c r="E80" s="15"/>
      <c r="F80" s="14"/>
      <c r="G80" s="14"/>
      <c r="H80" s="16"/>
      <c r="I80" s="16"/>
      <c r="J80" s="16"/>
      <c r="K80" s="16"/>
    </row>
    <row r="81" spans="1:12" hidden="1" outlineLevel="1" x14ac:dyDescent="0.2">
      <c r="A81" s="15"/>
      <c r="B81" s="14"/>
      <c r="C81" s="15"/>
      <c r="D81" s="15"/>
      <c r="E81" s="15"/>
      <c r="F81" s="14"/>
      <c r="G81" s="14"/>
      <c r="H81" s="14"/>
      <c r="I81" s="16">
        <f>[13]всего!E41+[13]всего!E10</f>
        <v>2391363.4000000004</v>
      </c>
      <c r="J81" s="16">
        <f>[13]всего!F41+[13]всего!F10</f>
        <v>2434229.5</v>
      </c>
      <c r="K81" s="16">
        <f>[13]всего!G41+[13]всего!G10</f>
        <v>2478976.3999999994</v>
      </c>
      <c r="L81" s="16"/>
    </row>
    <row r="82" spans="1:12" hidden="1" outlineLevel="1" x14ac:dyDescent="0.2">
      <c r="A82" s="15"/>
      <c r="B82" s="14"/>
      <c r="C82" s="15"/>
      <c r="D82" s="15"/>
      <c r="E82" s="15"/>
      <c r="F82" s="14"/>
      <c r="G82" s="14"/>
      <c r="H82" s="16"/>
      <c r="I82" s="16"/>
      <c r="J82" s="16"/>
      <c r="K82" s="16"/>
    </row>
    <row r="83" spans="1:12" hidden="1" outlineLevel="1" x14ac:dyDescent="0.2">
      <c r="A83" s="15"/>
      <c r="B83" s="14"/>
      <c r="C83" s="15"/>
      <c r="D83" s="15"/>
      <c r="E83" s="15"/>
      <c r="F83" s="14"/>
      <c r="G83" s="14"/>
      <c r="H83" s="16"/>
      <c r="I83" s="26" t="e">
        <f>I81-I74-#REF!</f>
        <v>#REF!</v>
      </c>
      <c r="J83" s="26" t="e">
        <f>J81-J74-#REF!</f>
        <v>#REF!</v>
      </c>
      <c r="K83" s="26" t="e">
        <f>K81-K74-#REF!</f>
        <v>#REF!</v>
      </c>
    </row>
    <row r="84" spans="1:12" hidden="1" outlineLevel="1" x14ac:dyDescent="0.2">
      <c r="A84" s="15"/>
      <c r="B84" s="14"/>
      <c r="C84" s="15"/>
      <c r="D84" s="15"/>
      <c r="E84" s="15"/>
      <c r="F84" s="14"/>
      <c r="G84" s="14"/>
      <c r="H84" s="16"/>
      <c r="I84" s="16"/>
      <c r="J84" s="16"/>
      <c r="K84" s="16"/>
    </row>
    <row r="85" spans="1:12" hidden="1" outlineLevel="1" x14ac:dyDescent="0.2">
      <c r="A85" s="15"/>
      <c r="B85" s="14"/>
      <c r="C85" s="15"/>
      <c r="D85" s="15"/>
      <c r="E85" s="15"/>
      <c r="F85" s="14"/>
      <c r="G85" s="14"/>
      <c r="H85" s="16"/>
      <c r="I85" s="26">
        <v>27238.552220000001</v>
      </c>
      <c r="J85" s="26">
        <v>30476.295619999994</v>
      </c>
      <c r="K85" s="26">
        <v>33044.332800000004</v>
      </c>
    </row>
    <row r="86" spans="1:12" hidden="1" outlineLevel="1" x14ac:dyDescent="0.2">
      <c r="A86" s="15"/>
      <c r="B86" s="14"/>
      <c r="C86" s="15"/>
      <c r="D86" s="15"/>
      <c r="E86" s="15"/>
      <c r="F86" s="14"/>
      <c r="G86" s="14"/>
      <c r="H86" s="16"/>
      <c r="I86" s="16"/>
      <c r="J86" s="16"/>
      <c r="K86" s="16"/>
    </row>
    <row r="87" spans="1:12" hidden="1" collapsed="1" x14ac:dyDescent="0.2">
      <c r="A87" s="15"/>
      <c r="B87" s="14"/>
      <c r="C87" s="15"/>
      <c r="D87" s="15"/>
      <c r="E87" s="15"/>
      <c r="F87" s="14"/>
      <c r="G87" s="14"/>
      <c r="H87" s="16"/>
      <c r="I87" s="16"/>
      <c r="J87" s="16"/>
      <c r="K87" s="16"/>
    </row>
    <row r="88" spans="1:12" hidden="1" x14ac:dyDescent="0.2">
      <c r="A88" s="15"/>
      <c r="B88" s="14"/>
      <c r="C88" s="15"/>
      <c r="D88" s="15"/>
      <c r="E88" s="15"/>
      <c r="F88" s="14"/>
      <c r="G88" s="14"/>
      <c r="H88" s="16"/>
      <c r="I88" s="16"/>
      <c r="J88" s="16"/>
      <c r="K88" s="16"/>
    </row>
    <row r="89" spans="1:12" s="1" customFormat="1" ht="15.75" hidden="1" customHeight="1" x14ac:dyDescent="0.2">
      <c r="A89" s="50" t="s">
        <v>21</v>
      </c>
      <c r="B89" s="50"/>
      <c r="C89" s="50"/>
      <c r="D89" s="50"/>
      <c r="E89" s="3"/>
      <c r="K89" s="1" t="s">
        <v>20</v>
      </c>
    </row>
    <row r="90" spans="1:12" hidden="1" x14ac:dyDescent="0.2"/>
    <row r="92" spans="1:12" hidden="1" x14ac:dyDescent="0.2">
      <c r="H92" s="27" t="e">
        <f>#REF!+#REF!+#REF!+#REF!+H71+H57+#REF!+#REF!+H40+#REF!+#REF!+#REF!+#REF!+#REF!+H32+H26+H20+#REF!+H9</f>
        <v>#REF!</v>
      </c>
      <c r="I92" s="27" t="e">
        <f>#REF!+#REF!+#REF!+#REF!+I71+I57+#REF!+#REF!+I40+#REF!+#REF!+#REF!+#REF!+#REF!+I32+I26+I20+#REF!+I9</f>
        <v>#REF!</v>
      </c>
      <c r="J92" s="27" t="e">
        <f>#REF!+#REF!+#REF!+#REF!+J71+J57+#REF!+#REF!+J40+#REF!+#REF!+#REF!+#REF!+#REF!+J32+J26+J20+#REF!+J9</f>
        <v>#REF!</v>
      </c>
      <c r="K92" s="27" t="e">
        <f>#REF!+#REF!+#REF!+#REF!+K71+K57+#REF!+#REF!+K40+#REF!+#REF!+#REF!+#REF!+#REF!+K32+K26+K20+#REF!+K9</f>
        <v>#REF!</v>
      </c>
    </row>
    <row r="93" spans="1:12" hidden="1" x14ac:dyDescent="0.2">
      <c r="H93" s="27">
        <f>'[19]изм.росписи (для отправки в МФ)'!$F$8+'[19]изм.росписи (для отправки в МФ)'!$F$15+'[19]изм.росписи (для отправки в МФ)'!$F$23+'[19]изм.росписи (для отправки в МФ)'!$F$25+'[19]изм.росписи (для отправки в МФ)'!$F$27+'[19]изм.росписи (для отправки в МФ)'!$F$29+'[19]изм.росписи (для отправки в МФ)'!$F$32+'[19]изм.росписи (для отправки в МФ)'!$F$32+'[19]изм.росписи (для отправки в МФ)'!$F$35+'[19]изм.росписи (для отправки в МФ)'!$F$60</f>
        <v>2300082.3000000003</v>
      </c>
      <c r="I93" s="6">
        <f>[13]всего!E11+[13]всего!E18+[13]всего!E25+[13]всего!E31+[13]всего!E35+[13]всего!E42+[13]всего!E44+[13]всего!E47+[13]всего!E49</f>
        <v>2391363.4000000004</v>
      </c>
      <c r="J93" s="6">
        <f>[13]всего!F11+[13]всего!F18+[13]всего!F25+[13]всего!F31+[13]всего!F35+[13]всего!F42+[13]всего!F44+[13]всего!F47+[13]всего!F49</f>
        <v>2434229.5</v>
      </c>
      <c r="K93" s="6">
        <f>[13]всего!G11+[13]всего!G18+[13]всего!G25+[13]всего!G31+[13]всего!G35+[13]всего!G42+[13]всего!G44+[13]всего!G47+[13]всего!G49</f>
        <v>2478976.4</v>
      </c>
    </row>
    <row r="94" spans="1:12" hidden="1" x14ac:dyDescent="0.2">
      <c r="H94" s="27" t="e">
        <f>H93-H92</f>
        <v>#REF!</v>
      </c>
      <c r="I94" s="27" t="e">
        <f>I93-I92</f>
        <v>#REF!</v>
      </c>
      <c r="J94" s="27" t="e">
        <f>J93-J92</f>
        <v>#REF!</v>
      </c>
      <c r="K94" s="27" t="e">
        <f>K93-K92</f>
        <v>#REF!</v>
      </c>
    </row>
    <row r="95" spans="1:12" hidden="1" x14ac:dyDescent="0.2">
      <c r="I95" s="27"/>
    </row>
  </sheetData>
  <mergeCells count="20">
    <mergeCell ref="A89:D89"/>
    <mergeCell ref="A38:K38"/>
    <mergeCell ref="A37:K37"/>
    <mergeCell ref="A69:K69"/>
    <mergeCell ref="A46:K46"/>
    <mergeCell ref="A68:K68"/>
    <mergeCell ref="A18:K18"/>
    <mergeCell ref="F1:J1"/>
    <mergeCell ref="A2:K2"/>
    <mergeCell ref="A4:A5"/>
    <mergeCell ref="B4:F4"/>
    <mergeCell ref="G4:K4"/>
    <mergeCell ref="A6:K6"/>
    <mergeCell ref="A7:K7"/>
    <mergeCell ref="A17:K17"/>
    <mergeCell ref="A23:K23"/>
    <mergeCell ref="A24:K24"/>
    <mergeCell ref="A29:K29"/>
    <mergeCell ref="A30:K30"/>
    <mergeCell ref="A45:K45"/>
  </mergeCells>
  <pageMargins left="0.70866141732283472" right="0.70866141732283472" top="0.74803149606299213" bottom="0.74803149606299213" header="0.31496062992125984" footer="0.31496062992125984"/>
  <pageSetup paperSize="9" scale="77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2013-10-15T07:03:23Z</cp:lastPrinted>
  <dcterms:created xsi:type="dcterms:W3CDTF">2013-07-29T03:10:57Z</dcterms:created>
  <dcterms:modified xsi:type="dcterms:W3CDTF">2013-10-30T03:30:49Z</dcterms:modified>
</cp:coreProperties>
</file>